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30" windowHeight="4515" activeTab="0"/>
  </bookViews>
  <sheets>
    <sheet name="simulador accions" sheetId="1" r:id="rId1"/>
    <sheet name="calculs" sheetId="2" r:id="rId2"/>
    <sheet name="dades consums mitjanes" sheetId="3" r:id="rId3"/>
    <sheet name="accions tipus resultats" sheetId="4" r:id="rId4"/>
  </sheets>
  <definedNames>
    <definedName name="ENERGIA">'dades consums mitjanes'!$A$2:$AG$8</definedName>
    <definedName name="midampi">'dades consums mitjanes'!$A$3:$A$8</definedName>
  </definedNames>
  <calcPr fullCalcOnLoad="1"/>
</workbook>
</file>

<file path=xl/comments1.xml><?xml version="1.0" encoding="utf-8"?>
<comments xmlns="http://schemas.openxmlformats.org/spreadsheetml/2006/main">
  <authors>
    <author>Diba</author>
  </authors>
  <commentList>
    <comment ref="E15" authorId="0">
      <text>
        <r>
          <rPr>
            <b/>
            <sz val="9"/>
            <rFont val="Tahoma"/>
            <family val="2"/>
          </rPr>
          <t>Diba:</t>
        </r>
        <r>
          <rPr>
            <sz val="9"/>
            <rFont val="Tahoma"/>
            <family val="2"/>
          </rPr>
          <t xml:space="preserve">
sobre equipaments que facin el X% del consum energètic del municipi
</t>
        </r>
      </text>
    </comment>
  </commentList>
</comments>
</file>

<file path=xl/sharedStrings.xml><?xml version="1.0" encoding="utf-8"?>
<sst xmlns="http://schemas.openxmlformats.org/spreadsheetml/2006/main" count="169" uniqueCount="139">
  <si>
    <t>Mida municipi</t>
  </si>
  <si>
    <t>Residencial</t>
  </si>
  <si>
    <t>Electricitat</t>
  </si>
  <si>
    <t>Gas natural</t>
  </si>
  <si>
    <t>Gasoil C</t>
  </si>
  <si>
    <t>Propà</t>
  </si>
  <si>
    <t>Terciari</t>
  </si>
  <si>
    <t>Transport privat</t>
  </si>
  <si>
    <t>Gasolina</t>
  </si>
  <si>
    <t>Gasoil</t>
  </si>
  <si>
    <t>biodièsel</t>
  </si>
  <si>
    <t>Ajuntament</t>
  </si>
  <si>
    <t>Eq_elec</t>
  </si>
  <si>
    <t>EQ_GN</t>
  </si>
  <si>
    <t>EQ_GC</t>
  </si>
  <si>
    <t>EQ_GLP</t>
  </si>
  <si>
    <t>EP</t>
  </si>
  <si>
    <t>Flota Gasolina</t>
  </si>
  <si>
    <t>Flota gasoil</t>
  </si>
  <si>
    <t>Residus (CO2)</t>
  </si>
  <si>
    <t>Agua (CO2)</t>
  </si>
  <si>
    <t>Total energia</t>
  </si>
  <si>
    <t>5.000 a 20.000 hab</t>
  </si>
  <si>
    <t>20.000 a 50.000 hab</t>
  </si>
  <si>
    <t>&gt; 50.000 hab</t>
  </si>
  <si>
    <t>Mitjana general</t>
  </si>
  <si>
    <t>MIRAR DO DIBA</t>
  </si>
  <si>
    <t>ACCIONS TIPUS</t>
  </si>
  <si>
    <t>Gestió energètica equipaments/comptabilitat</t>
  </si>
  <si>
    <t>% estalvi previst</t>
  </si>
  <si>
    <t>Telegestió a equipaments més consumidors</t>
  </si>
  <si>
    <t>sobre consum equipaments i enllumenat</t>
  </si>
  <si>
    <t xml:space="preserve">sobre consum equipamentsTG. </t>
  </si>
  <si>
    <t>Quina mida de municipi tries?</t>
  </si>
  <si>
    <t>Consum energia</t>
  </si>
  <si>
    <t>Emissions CO2</t>
  </si>
  <si>
    <t>kWh / tCO2</t>
  </si>
  <si>
    <t>kWh/hab / tCO2/hab</t>
  </si>
  <si>
    <t>Objectiu de reducció d'emissions</t>
  </si>
  <si>
    <t>ACCIONS</t>
  </si>
  <si>
    <t>Sí/No</t>
  </si>
  <si>
    <t>Abast de l'acció (%)</t>
  </si>
  <si>
    <t>Estalvi emissions previst</t>
  </si>
  <si>
    <t>Aïllaments en equipaments</t>
  </si>
  <si>
    <t>on es faci</t>
  </si>
  <si>
    <t>Accions en la il·luminació interior</t>
  </si>
  <si>
    <t>Accions en els equips informàtics</t>
  </si>
  <si>
    <t>Solar tèrmica per ACS</t>
  </si>
  <si>
    <t>Biomassa per equipaments amb GC, GLP o GN amb molt consum</t>
  </si>
  <si>
    <t>electricitat</t>
  </si>
  <si>
    <t>Enllumenat públic: canvi a LED</t>
  </si>
  <si>
    <t>Enllumenat públic: telegestió</t>
  </si>
  <si>
    <t>on s'actuí</t>
  </si>
  <si>
    <t>Enllumenat públic: Sistemes de control com rellotges astronòmics,</t>
  </si>
  <si>
    <t>Flota municipal: vehicles més eficients no elèctrics</t>
  </si>
  <si>
    <t>electricitat verda</t>
  </si>
  <si>
    <t>Flota municipal: vehicles elèctrics</t>
  </si>
  <si>
    <t>Flota municipal: optimització rutes, inclusió a la comptabilitat energètica…</t>
  </si>
  <si>
    <t>Flota externalitzada: Criteris per vehicles elèctrics o més eficients</t>
  </si>
  <si>
    <t>Sector terciari: visites d'avaluació energètica</t>
  </si>
  <si>
    <t>allà on s'actuï, abast!</t>
  </si>
  <si>
    <t>Sector terciari: Foment adquisició electricitat verda</t>
  </si>
  <si>
    <t>allà on s'arribi, abast!</t>
  </si>
  <si>
    <t>Sector terciari: campanyes, premis, distintius, convenis</t>
  </si>
  <si>
    <t>Sector residencial: visites d'avaluació energètica a les llars (no vulnerables)</t>
  </si>
  <si>
    <t>Sector residencial: campanyes actives</t>
  </si>
  <si>
    <t>Ordenances municipals en edificiació: cap a NZEB</t>
  </si>
  <si>
    <t>Ajuts per a la rehabilitació energètica d'edificis</t>
  </si>
  <si>
    <t>dels edificis on s'arribi</t>
  </si>
  <si>
    <t>Edificis municipals NZEB: actuacions en rehabilitació energètica</t>
  </si>
  <si>
    <t>, on es faci, no sobreafegir a aïllaments i renovables</t>
  </si>
  <si>
    <t>Bonificacions fiscals per rehabilitacions energètiques i renovables</t>
  </si>
  <si>
    <t>Sector terciari: Acord perquè se sumin a Passa l'energia</t>
  </si>
  <si>
    <t>on s'actuï; sobre consum tèrmic</t>
  </si>
  <si>
    <t>on s'actuï, sobre consum tèrmic</t>
  </si>
  <si>
    <t>Compra d'electricitat verda per part de l'Ajuntament</t>
  </si>
  <si>
    <t>Formació i sensibilització als treballadors municipals</t>
  </si>
  <si>
    <t>Compra d'electricitat verda per part del sector privat</t>
  </si>
  <si>
    <t>d'electricitat, important abast, passiva</t>
  </si>
  <si>
    <t>Renovació electrodomèstics, bombetes sector privat</t>
  </si>
  <si>
    <t>passiva, renovació natural</t>
  </si>
  <si>
    <t>Canvi calderes de gasoil i propà per biomassa</t>
  </si>
  <si>
    <t>municipis sense gas natural, passiva, abast</t>
  </si>
  <si>
    <t>Renovables: Instal·lació FV en edificis municipals</t>
  </si>
  <si>
    <t>edificis on s'utilitza. Abast</t>
  </si>
  <si>
    <t>Renovables: Instal·lació FV en activitats econòmiques</t>
  </si>
  <si>
    <t>Renovables: Instal·lació FV en edificis privats (residencials)</t>
  </si>
  <si>
    <t>Rehabilitació energètica d'edificis. Ajuts</t>
  </si>
  <si>
    <t>abast</t>
  </si>
  <si>
    <t xml:space="preserve">Peatges de congestió </t>
  </si>
  <si>
    <t>Renovació flota privada amb vehicles més eficients</t>
  </si>
  <si>
    <t xml:space="preserve">Residus: canvis en el model de recollida per assolir objectius </t>
  </si>
  <si>
    <t>FACTORS EMISSiÖ</t>
  </si>
  <si>
    <t>gas</t>
  </si>
  <si>
    <t>elec gas</t>
  </si>
  <si>
    <t>propa</t>
  </si>
  <si>
    <t>gasoil</t>
  </si>
  <si>
    <t>gasolina</t>
  </si>
  <si>
    <t>mix transport</t>
  </si>
  <si>
    <t>Transport privat: Pacificació trànsit, bicicletes, a peu, etc.</t>
  </si>
  <si>
    <t>Taula variable</t>
  </si>
  <si>
    <t>emissions elec eq aj</t>
  </si>
  <si>
    <t>emissions gn eq aj</t>
  </si>
  <si>
    <t>emissions gc eq aj</t>
  </si>
  <si>
    <t>emissions glp eq aj</t>
  </si>
  <si>
    <t>emissions term eq</t>
  </si>
  <si>
    <t>emissions EQ</t>
  </si>
  <si>
    <t>emissions ep</t>
  </si>
  <si>
    <t>emissions ep+eq</t>
  </si>
  <si>
    <t>emissions flota</t>
  </si>
  <si>
    <t>Flota ext gasolin</t>
  </si>
  <si>
    <t>Flota ext gasoil</t>
  </si>
  <si>
    <t>Flota externalitzada: incloure gas natural com a  combustible</t>
  </si>
  <si>
    <t>emissions flota ext</t>
  </si>
  <si>
    <t>emissions serveis elec</t>
  </si>
  <si>
    <t>emissions serveis gn</t>
  </si>
  <si>
    <t>emissions serveis gc</t>
  </si>
  <si>
    <t>emissions serveis glp</t>
  </si>
  <si>
    <t>emissions termic</t>
  </si>
  <si>
    <t>emissions serveis</t>
  </si>
  <si>
    <t>emissions res elec</t>
  </si>
  <si>
    <t>emissions res gn</t>
  </si>
  <si>
    <t>emissions res gc</t>
  </si>
  <si>
    <t>emissions res glp</t>
  </si>
  <si>
    <t>emissions res termic</t>
  </si>
  <si>
    <t>emissions residencial</t>
  </si>
  <si>
    <t>Trasnport privat gasolina</t>
  </si>
  <si>
    <t>transport privat gasoil</t>
  </si>
  <si>
    <t>Transport privat biodièel</t>
  </si>
  <si>
    <t>RESIDUS</t>
  </si>
  <si>
    <t>AIGUA</t>
  </si>
  <si>
    <t>&lt; 1000 hab</t>
  </si>
  <si>
    <t>1.000 a 5.000 hab</t>
  </si>
  <si>
    <t>Flota ext biodièsel</t>
  </si>
  <si>
    <t>Estalvi emissions per accions</t>
  </si>
  <si>
    <t>Emissions objectiu</t>
  </si>
  <si>
    <t>Emissions acció</t>
  </si>
  <si>
    <t>Sí</t>
  </si>
  <si>
    <t xml:space="preserve"> Extensió del vehicle elèctric: punts recàrrega, ajuts (e verda)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</si>
</sst>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#,##0.00000"/>
    <numFmt numFmtId="167" formatCode="#,##0.0"/>
  </numFmts>
  <fonts count="48">
    <font>
      <sz val="10"/>
      <name val="Arial"/>
      <family val="0"/>
    </font>
    <font>
      <sz val="8"/>
      <name val="Arial"/>
      <family val="0"/>
    </font>
    <font>
      <sz val="10"/>
      <color indexed="23"/>
      <name val="Arial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b/>
      <sz val="10"/>
      <color indexed="9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43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13" borderId="11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9" fontId="0" fillId="10" borderId="11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13" borderId="11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3" fontId="46" fillId="33" borderId="0" xfId="0" applyNumberFormat="1" applyFont="1" applyFill="1" applyBorder="1" applyAlignment="1">
      <alignment horizontal="center"/>
    </xf>
    <xf numFmtId="4" fontId="46" fillId="33" borderId="0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3" fontId="0" fillId="34" borderId="11" xfId="0" applyNumberFormat="1" applyFill="1" applyBorder="1" applyAlignment="1">
      <alignment horizontal="center"/>
    </xf>
    <xf numFmtId="0" fontId="0" fillId="7" borderId="10" xfId="0" applyFill="1" applyBorder="1" applyAlignment="1">
      <alignment/>
    </xf>
    <xf numFmtId="4" fontId="3" fillId="34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9" fontId="0" fillId="10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2"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075"/>
          <c:w val="0.875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calculs!$A$33</c:f>
              <c:strCache>
                <c:ptCount val="1"/>
                <c:pt idx="0">
                  <c:v>Emissions objectiu</c:v>
                </c:pt>
              </c:strCache>
            </c:strRef>
          </c:tx>
          <c:spPr>
            <a:noFill/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calculs!$B$33</c:f>
              <c:numCache>
                <c:ptCount val="1"/>
                <c:pt idx="0">
                  <c:v>25969.038329360945</c:v>
                </c:pt>
              </c:numCache>
            </c:numRef>
          </c:val>
        </c:ser>
        <c:ser>
          <c:idx val="1"/>
          <c:order val="1"/>
          <c:tx>
            <c:strRef>
              <c:f>calculs!$A$34</c:f>
              <c:strCache>
                <c:ptCount val="1"/>
                <c:pt idx="0">
                  <c:v>Emissions acció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calculs!$B$34</c:f>
              <c:numCache>
                <c:ptCount val="1"/>
                <c:pt idx="0">
                  <c:v>14332.572164721949</c:v>
                </c:pt>
              </c:numCache>
            </c:numRef>
          </c:val>
        </c:ser>
        <c:overlap val="100"/>
        <c:gapWidth val="220"/>
        <c:axId val="57393048"/>
        <c:axId val="46775385"/>
      </c:barChart>
      <c:catAx>
        <c:axId val="57393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Assoliment d'objectius</a:t>
                </a:r>
              </a:p>
            </c:rich>
          </c:tx>
          <c:layout>
            <c:manualLayout>
              <c:xMode val="factor"/>
              <c:yMode val="factor"/>
              <c:x val="0.01875"/>
              <c:y val="0.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46775385"/>
        <c:crosses val="autoZero"/>
        <c:auto val="1"/>
        <c:lblOffset val="100"/>
        <c:tickLblSkip val="1"/>
        <c:noMultiLvlLbl val="0"/>
      </c:catAx>
      <c:valAx>
        <c:axId val="4677538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ysDot"/>
          </a:ln>
        </c:spPr>
        <c:crossAx val="573930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25"/>
          <c:y val="0.408"/>
          <c:w val="0.2535"/>
          <c:h val="0.1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13</xdr:row>
      <xdr:rowOff>28575</xdr:rowOff>
    </xdr:from>
    <xdr:to>
      <xdr:col>15</xdr:col>
      <xdr:colOff>552450</xdr:colOff>
      <xdr:row>29</xdr:row>
      <xdr:rowOff>161925</xdr:rowOff>
    </xdr:to>
    <xdr:graphicFrame>
      <xdr:nvGraphicFramePr>
        <xdr:cNvPr id="1" name="Gràfic 1"/>
        <xdr:cNvGraphicFramePr/>
      </xdr:nvGraphicFramePr>
      <xdr:xfrm>
        <a:off x="9563100" y="2247900"/>
        <a:ext cx="47053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5"/>
  <sheetViews>
    <sheetView showGridLines="0" tabSelected="1" zoomScale="120" zoomScaleNormal="120" zoomScalePageLayoutView="0" workbookViewId="0" topLeftCell="A19">
      <selection activeCell="G51" sqref="G51"/>
    </sheetView>
  </sheetViews>
  <sheetFormatPr defaultColWidth="11.421875" defaultRowHeight="12.75"/>
  <cols>
    <col min="1" max="1" width="71.57421875" style="0" customWidth="1"/>
    <col min="2" max="2" width="1.28515625" style="0" customWidth="1"/>
    <col min="3" max="3" width="18.57421875" style="0" customWidth="1"/>
    <col min="4" max="4" width="0.9921875" style="0" customWidth="1"/>
    <col min="5" max="5" width="18.7109375" style="0" bestFit="1" customWidth="1"/>
    <col min="6" max="6" width="0.85546875" style="0" customWidth="1"/>
    <col min="7" max="7" width="22.7109375" style="17" bestFit="1" customWidth="1"/>
    <col min="8" max="8" width="6.00390625" style="0" customWidth="1"/>
    <col min="9" max="9" width="8.57421875" style="0" customWidth="1"/>
    <col min="10" max="10" width="11.421875" style="0" customWidth="1"/>
    <col min="11" max="15" width="9.00390625" style="0" customWidth="1"/>
  </cols>
  <sheetData>
    <row r="1" ht="13.5" thickBot="1"/>
    <row r="2" spans="1:4" ht="13.5" thickBot="1">
      <c r="A2" s="5" t="s">
        <v>33</v>
      </c>
      <c r="C2" s="29" t="s">
        <v>25</v>
      </c>
      <c r="D2" s="4"/>
    </row>
    <row r="3" ht="13.5" thickBot="1"/>
    <row r="4" spans="3:5" ht="13.5" thickBot="1">
      <c r="C4" s="6" t="s">
        <v>36</v>
      </c>
      <c r="E4" s="23" t="s">
        <v>37</v>
      </c>
    </row>
    <row r="5" spans="3:5" ht="13.5" thickBot="1">
      <c r="C5" s="4"/>
      <c r="E5" s="24"/>
    </row>
    <row r="6" spans="1:7" ht="13.5" thickBot="1">
      <c r="A6" s="7" t="s">
        <v>34</v>
      </c>
      <c r="C6" s="28">
        <f>VLOOKUP($C$2,ENERGIA,23,FALSE)</f>
        <v>260261790.63613492</v>
      </c>
      <c r="D6" s="14"/>
      <c r="E6" s="25"/>
      <c r="G6" s="27" t="s">
        <v>134</v>
      </c>
    </row>
    <row r="7" spans="1:5" ht="13.5" thickBot="1">
      <c r="A7" s="8"/>
      <c r="C7" s="14"/>
      <c r="D7" s="14"/>
      <c r="E7" s="25"/>
    </row>
    <row r="8" spans="1:7" ht="13.5" thickBot="1">
      <c r="A8" s="7" t="s">
        <v>35</v>
      </c>
      <c r="C8" s="28">
        <f>calculs!D1</f>
        <v>64922.59582340236</v>
      </c>
      <c r="D8" s="15"/>
      <c r="E8" s="26"/>
      <c r="G8" s="30">
        <f>SUMIF(C14:C75,"Sí",G14:G75)</f>
        <v>14332.572164721949</v>
      </c>
    </row>
    <row r="9" spans="1:5" ht="13.5" thickBot="1">
      <c r="A9" s="8"/>
      <c r="C9" s="14"/>
      <c r="D9" s="14"/>
      <c r="E9" s="25"/>
    </row>
    <row r="10" spans="1:5" ht="13.5" thickBot="1">
      <c r="A10" s="7" t="s">
        <v>38</v>
      </c>
      <c r="C10" s="28">
        <f>0.4*C8</f>
        <v>25969.038329360945</v>
      </c>
      <c r="D10" s="14"/>
      <c r="E10" s="25"/>
    </row>
    <row r="11" ht="13.5" thickBot="1"/>
    <row r="12" spans="1:7" ht="13.5" thickBot="1">
      <c r="A12" s="5" t="s">
        <v>39</v>
      </c>
      <c r="C12" s="6" t="s">
        <v>40</v>
      </c>
      <c r="E12" s="5" t="s">
        <v>41</v>
      </c>
      <c r="G12" s="18" t="s">
        <v>42</v>
      </c>
    </row>
    <row r="13" ht="12.75"/>
    <row r="14" spans="1:7" ht="12.75">
      <c r="A14" s="9" t="str">
        <f>'accions tipus resultats'!A2</f>
        <v>Gestió energètica equipaments/comptabilitat</v>
      </c>
      <c r="C14" s="22"/>
      <c r="E14" s="16">
        <v>1</v>
      </c>
      <c r="G14" s="19">
        <f>IF(C14="Sí",E14*'accions tipus resultats'!B2*calculs!$B$7,0)</f>
        <v>0</v>
      </c>
    </row>
    <row r="15" spans="1:7" ht="12.75">
      <c r="A15" s="9" t="str">
        <f>'accions tipus resultats'!A3</f>
        <v>Telegestió a equipaments més consumidors</v>
      </c>
      <c r="C15" s="13"/>
      <c r="E15" s="32">
        <v>0.5</v>
      </c>
      <c r="G15" s="19">
        <f>IF(C15="Sí",E15*'accions tipus resultats'!B3*calculs!$B$7,0)</f>
        <v>0</v>
      </c>
    </row>
    <row r="16" spans="1:7" ht="12.75">
      <c r="A16" s="9" t="str">
        <f>'accions tipus resultats'!A4</f>
        <v>Aïllaments en equipaments</v>
      </c>
      <c r="C16" s="13"/>
      <c r="E16" s="16">
        <v>0.2</v>
      </c>
      <c r="G16" s="19">
        <f>IF(C16="Sí",E16*'accions tipus resultats'!B4*calculs!$B$6,0)</f>
        <v>0</v>
      </c>
    </row>
    <row r="17" spans="1:7" ht="12.75">
      <c r="A17" s="9" t="str">
        <f>'accions tipus resultats'!A5</f>
        <v>Edificis municipals NZEB: actuacions en rehabilitació energètica</v>
      </c>
      <c r="C17" s="13" t="s">
        <v>137</v>
      </c>
      <c r="E17" s="16">
        <v>0.4</v>
      </c>
      <c r="G17" s="19">
        <f>IF(C17="Sí",E17*'accions tipus resultats'!B5*calculs!$B$7,0)</f>
        <v>199.5767121211837</v>
      </c>
    </row>
    <row r="18" spans="1:7" ht="12.75">
      <c r="A18" s="9" t="str">
        <f>'accions tipus resultats'!A6</f>
        <v>Accions en la il·luminació interior</v>
      </c>
      <c r="C18" s="13"/>
      <c r="E18" s="16">
        <v>0.6</v>
      </c>
      <c r="G18" s="19">
        <f>IF(C18="Sí",E18*'accions tipus resultats'!B6*calculs!$B$2,0)</f>
        <v>0</v>
      </c>
    </row>
    <row r="19" spans="1:7" ht="12.75">
      <c r="A19" s="9" t="str">
        <f>'accions tipus resultats'!A7</f>
        <v>Accions en els equips informàtics</v>
      </c>
      <c r="C19" s="13"/>
      <c r="E19" s="16">
        <v>0.8</v>
      </c>
      <c r="G19" s="19">
        <f>IF(C19="Sí",E19*'accions tipus resultats'!B7*calculs!$B$2,0)</f>
        <v>0</v>
      </c>
    </row>
    <row r="20" spans="1:7" ht="12.75">
      <c r="A20" s="9" t="str">
        <f>'accions tipus resultats'!A8</f>
        <v>Solar tèrmica per ACS</v>
      </c>
      <c r="C20" s="13" t="s">
        <v>137</v>
      </c>
      <c r="E20" s="16">
        <v>0.3</v>
      </c>
      <c r="G20" s="19">
        <f>IF(C20="Sí",E20*'accions tipus resultats'!B8*calculs!$B$6,0)</f>
        <v>38.79468653169747</v>
      </c>
    </row>
    <row r="21" spans="1:7" ht="12.75">
      <c r="A21" s="9" t="str">
        <f>'accions tipus resultats'!A9</f>
        <v>Biomassa per equipaments amb GC, GLP o GN amb molt consum</v>
      </c>
      <c r="C21" s="13" t="s">
        <v>137</v>
      </c>
      <c r="E21" s="16">
        <v>1</v>
      </c>
      <c r="G21" s="19">
        <f>IF(C21="Sí",E21*'accions tipus resultats'!B9*calculs!$B$6,0)</f>
        <v>193.97343265848738</v>
      </c>
    </row>
    <row r="22" spans="1:7" ht="12.75">
      <c r="A22" s="9" t="str">
        <f>'accions tipus resultats'!A10</f>
        <v>Compra d'electricitat verda per part de l'Ajuntament</v>
      </c>
      <c r="C22" s="13"/>
      <c r="E22" s="16">
        <v>1</v>
      </c>
      <c r="G22" s="19">
        <f>IF(C22="Sí",E22*'accions tipus resultats'!B10*(calculs!$B$2+calculs!B8),0)</f>
        <v>0</v>
      </c>
    </row>
    <row r="23" spans="1:7" ht="12.75">
      <c r="A23" s="9" t="str">
        <f>'accions tipus resultats'!A11</f>
        <v>Formació i sensibilització als treballadors municipals</v>
      </c>
      <c r="C23" s="13"/>
      <c r="E23" s="16">
        <v>0.2</v>
      </c>
      <c r="G23" s="19">
        <f>IF(C23="Sí",E23*'accions tipus resultats'!B11*calculs!B7,0)</f>
        <v>0</v>
      </c>
    </row>
    <row r="24" spans="1:7" ht="12.75">
      <c r="A24" s="9" t="str">
        <f>'accions tipus resultats'!A12</f>
        <v>Enllumenat públic: canvi a LED</v>
      </c>
      <c r="C24" s="13" t="s">
        <v>137</v>
      </c>
      <c r="E24" s="16">
        <v>1</v>
      </c>
      <c r="G24" s="19">
        <f>IF(C24="Sí",E24*'accions tipus resultats'!B12*calculs!$B$8,0)</f>
        <v>376.9114574343914</v>
      </c>
    </row>
    <row r="25" spans="1:7" ht="12.75">
      <c r="A25" s="9" t="str">
        <f>'accions tipus resultats'!A13</f>
        <v>Enllumenat públic: telegestió</v>
      </c>
      <c r="C25" s="13"/>
      <c r="E25" s="16">
        <v>1</v>
      </c>
      <c r="G25" s="19">
        <f>IF(C25="Sí",E25*'accions tipus resultats'!B13*calculs!$B$8,0)</f>
        <v>0</v>
      </c>
    </row>
    <row r="26" spans="1:7" ht="12.75">
      <c r="A26" s="9" t="str">
        <f>'accions tipus resultats'!A14</f>
        <v>Enllumenat públic: Sistemes de control com rellotges astronòmics,</v>
      </c>
      <c r="C26" s="13"/>
      <c r="E26" s="16">
        <v>0.8</v>
      </c>
      <c r="G26" s="19">
        <f>IF(C26="Sí",E26*'accions tipus resultats'!B14*calculs!$B$8,0)</f>
        <v>0</v>
      </c>
    </row>
    <row r="27" spans="1:7" ht="12.75">
      <c r="A27" s="9" t="str">
        <f>'accions tipus resultats'!A15</f>
        <v>Flota municipal: vehicles més eficients no elèctrics</v>
      </c>
      <c r="C27" s="13"/>
      <c r="E27" s="16">
        <v>0.3</v>
      </c>
      <c r="G27" s="19">
        <f>IF(C27="Sí",E27*'accions tipus resultats'!B15*calculs!$B$10,0)</f>
        <v>0</v>
      </c>
    </row>
    <row r="28" spans="1:7" ht="12.75">
      <c r="A28" s="9" t="str">
        <f>'accions tipus resultats'!A16</f>
        <v>Flota municipal: vehicles elèctrics</v>
      </c>
      <c r="C28" s="13"/>
      <c r="E28" s="16">
        <v>0.1</v>
      </c>
      <c r="G28" s="19">
        <f>IF(C28="Sí",E28*'accions tipus resultats'!B16*calculs!$B$10,0)</f>
        <v>0</v>
      </c>
    </row>
    <row r="29" spans="1:7" ht="12.75">
      <c r="A29" s="9" t="str">
        <f>'accions tipus resultats'!A17</f>
        <v>Flota municipal: optimització rutes, inclusió a la comptabilitat energètica…</v>
      </c>
      <c r="C29" s="13"/>
      <c r="E29" s="16">
        <v>0.5</v>
      </c>
      <c r="G29" s="19">
        <f>IF(C29="Sí",E29*'accions tipus resultats'!B17*calculs!$B$10,0)</f>
        <v>0</v>
      </c>
    </row>
    <row r="30" spans="1:7" ht="12.75">
      <c r="A30" s="9" t="str">
        <f>'accions tipus resultats'!A18</f>
        <v>Flota externalitzada: Criteris per vehicles elèctrics o més eficients</v>
      </c>
      <c r="C30" s="13"/>
      <c r="E30" s="16">
        <v>0.8</v>
      </c>
      <c r="G30" s="19">
        <f>IF(C30="Sí",E30*'accions tipus resultats'!B18*calculs!$B$11,0)</f>
        <v>0</v>
      </c>
    </row>
    <row r="31" spans="1:7" ht="12.75">
      <c r="A31" s="9" t="str">
        <f>'accions tipus resultats'!A19</f>
        <v>Flota externalitzada: incloure gas natural com a  combustible</v>
      </c>
      <c r="C31" s="13"/>
      <c r="E31" s="16">
        <v>0.5</v>
      </c>
      <c r="G31" s="19">
        <f>IF(C31="Sí",E31*'accions tipus resultats'!B19*calculs!$B$11,0)</f>
        <v>0</v>
      </c>
    </row>
    <row r="32" spans="1:7" ht="12.75">
      <c r="A32" s="9" t="str">
        <f>'accions tipus resultats'!A20</f>
        <v>Sector terciari: visites d'avaluació energètica</v>
      </c>
      <c r="C32" s="13"/>
      <c r="E32" s="16">
        <v>0.2</v>
      </c>
      <c r="G32" s="19">
        <f>IF(C32="Sí",E32*'accions tipus resultats'!B20*calculs!$B$17,0)</f>
        <v>0</v>
      </c>
    </row>
    <row r="33" spans="1:7" ht="12.75">
      <c r="A33" s="9" t="str">
        <f>'accions tipus resultats'!A21</f>
        <v>Sector terciari: Foment adquisició electricitat verda</v>
      </c>
      <c r="C33" s="22"/>
      <c r="E33" s="16">
        <v>0.2</v>
      </c>
      <c r="G33" s="19">
        <f>IF(C33="Sí",E33*'accions tipus resultats'!B21*calculs!$B$12,0)</f>
        <v>0</v>
      </c>
    </row>
    <row r="34" spans="1:7" ht="12.75">
      <c r="A34" s="9" t="str">
        <f>'accions tipus resultats'!A22</f>
        <v>Sector terciari: campanyes, premis, distintius, convenis</v>
      </c>
      <c r="C34" s="22"/>
      <c r="E34" s="16">
        <v>0.1</v>
      </c>
      <c r="G34" s="19">
        <f>IF(C34="Sí",E34*'accions tipus resultats'!B22*calculs!$B$17,0)</f>
        <v>0</v>
      </c>
    </row>
    <row r="35" spans="1:7" ht="12.75">
      <c r="A35" s="9" t="str">
        <f>'accions tipus resultats'!A23</f>
        <v>Sector terciari: Acord perquè se sumin a Passa l'energia</v>
      </c>
      <c r="C35" s="22"/>
      <c r="E35" s="16">
        <v>0.05</v>
      </c>
      <c r="G35" s="19">
        <f>IF(C35="Sí",E35*'accions tipus resultats'!B23*calculs!$B$17,0)</f>
        <v>0</v>
      </c>
    </row>
    <row r="36" spans="1:7" ht="12.75">
      <c r="A36" s="9" t="str">
        <f>'accions tipus resultats'!A24</f>
        <v>Sector residencial: visites d'avaluació energètica a les llars (no vulnerables)</v>
      </c>
      <c r="C36" s="22"/>
      <c r="E36" s="16">
        <v>0.2</v>
      </c>
      <c r="G36" s="19">
        <f>IF(C36="Sí",E36*'accions tipus resultats'!B24*calculs!$B$23,0)</f>
        <v>0</v>
      </c>
    </row>
    <row r="37" spans="1:7" ht="12.75">
      <c r="A37" s="9" t="str">
        <f>'accions tipus resultats'!A25</f>
        <v>Sector residencial: campanyes actives</v>
      </c>
      <c r="C37" s="22" t="s">
        <v>137</v>
      </c>
      <c r="E37" s="16">
        <v>0.3</v>
      </c>
      <c r="G37" s="19">
        <f>IF(C37="Sí",E37*'accions tipus resultats'!B25*calculs!$B$23,0)</f>
        <v>398.16430689328496</v>
      </c>
    </row>
    <row r="38" spans="1:7" ht="12.75">
      <c r="A38" s="9" t="str">
        <f>'accions tipus resultats'!A26</f>
        <v>Rehabilitació energètica d'edificis. Ajuts</v>
      </c>
      <c r="C38" s="22" t="s">
        <v>137</v>
      </c>
      <c r="E38" s="16">
        <v>0.3</v>
      </c>
      <c r="G38" s="19">
        <f>IF(C38="Sí",E38*'accions tipus resultats'!B26*calculs!$B$22,0)</f>
        <v>901.3024469836223</v>
      </c>
    </row>
    <row r="39" spans="1:7" ht="12.75">
      <c r="A39" s="9" t="str">
        <f>'accions tipus resultats'!A27</f>
        <v>Ordenances municipals en edificiació: cap a NZEB</v>
      </c>
      <c r="C39" s="22"/>
      <c r="E39" s="16">
        <v>0.15</v>
      </c>
      <c r="G39" s="19">
        <f>IF(C39="Sí",E39*'accions tipus resultats'!B27*calculs!$B$23,0)</f>
        <v>0</v>
      </c>
    </row>
    <row r="40" spans="1:7" ht="12.75">
      <c r="A40" s="9" t="str">
        <f>'accions tipus resultats'!A28</f>
        <v>Ajuts per a la rehabilitació energètica d'edificis</v>
      </c>
      <c r="C40" s="22" t="s">
        <v>137</v>
      </c>
      <c r="E40" s="16">
        <v>0.3</v>
      </c>
      <c r="G40" s="19">
        <f>IF(C40="Sí",E40*'accions tipus resultats'!B28*calculs!$B$22,0)</f>
        <v>675.9768352377167</v>
      </c>
    </row>
    <row r="41" spans="1:7" ht="12.75">
      <c r="A41" s="9" t="str">
        <f>'accions tipus resultats'!A29</f>
        <v>Bonificacions fiscals per rehabilitacions energètiques i renovables</v>
      </c>
      <c r="C41" s="22"/>
      <c r="E41" s="16">
        <v>0.05</v>
      </c>
      <c r="G41" s="19">
        <f>IF(C41="Sí",E41*'accions tipus resultats'!B29*calculs!$B$23,0)</f>
        <v>0</v>
      </c>
    </row>
    <row r="42" spans="1:7" ht="12.75">
      <c r="A42" s="9" t="str">
        <f>'accions tipus resultats'!A30</f>
        <v>Compra d'electricitat verda per part del sector privat</v>
      </c>
      <c r="C42" s="22"/>
      <c r="E42" s="16">
        <v>0.2</v>
      </c>
      <c r="G42" s="19">
        <f>IF(C42="Sí",E42*'accions tipus resultats'!B30*calculs!$B$18,0)</f>
        <v>0</v>
      </c>
    </row>
    <row r="43" spans="1:7" ht="12.75">
      <c r="A43" s="9" t="str">
        <f>'accions tipus resultats'!A31</f>
        <v>Renovació electrodomèstics, bombetes sector privat</v>
      </c>
      <c r="C43" s="22"/>
      <c r="E43" s="16">
        <v>0.6</v>
      </c>
      <c r="G43" s="19">
        <f>IF(C43="Sí",E43*'accions tipus resultats'!B31*calculs!$B$18,0)</f>
        <v>0</v>
      </c>
    </row>
    <row r="44" spans="1:7" ht="12.75">
      <c r="A44" s="9" t="str">
        <f>'accions tipus resultats'!A32</f>
        <v>Canvi calderes de gasoil i propà per biomassa</v>
      </c>
      <c r="C44" s="13" t="s">
        <v>137</v>
      </c>
      <c r="E44" s="16">
        <v>0.3</v>
      </c>
      <c r="G44" s="19">
        <f>IF(C44="Sí",E44*'accions tipus resultats'!B32*(calculs!$B$20+calculs!B21),0)</f>
        <v>414.0212772353502</v>
      </c>
    </row>
    <row r="45" spans="1:7" ht="12.75">
      <c r="A45" s="9" t="str">
        <f>'accions tipus resultats'!A33</f>
        <v>Renovables: Instal·lació FV en edificis municipals</v>
      </c>
      <c r="C45" s="22" t="s">
        <v>137</v>
      </c>
      <c r="E45" s="16">
        <v>1</v>
      </c>
      <c r="G45" s="19">
        <f>IF(C45="Sí",E45*'accions tipus resultats'!B33*calculs!$B$2,0)</f>
        <v>372.93595168062166</v>
      </c>
    </row>
    <row r="46" spans="1:7" ht="12.75">
      <c r="A46" s="9" t="str">
        <f>'accions tipus resultats'!A34</f>
        <v>Renovables: Instal·lació FV en activitats econòmiques</v>
      </c>
      <c r="C46" s="22" t="s">
        <v>137</v>
      </c>
      <c r="E46" s="16">
        <v>0.3</v>
      </c>
      <c r="G46" s="19">
        <f>IF(C46="Sí",E46*'accions tipus resultats'!B34*calculs!$B$12,0)</f>
        <v>3663.1647131982686</v>
      </c>
    </row>
    <row r="47" spans="1:7" ht="12.75">
      <c r="A47" s="9" t="str">
        <f>'accions tipus resultats'!A35</f>
        <v>Renovables: Instal·lació FV en edificis privats (residencials)</v>
      </c>
      <c r="C47" s="22" t="s">
        <v>137</v>
      </c>
      <c r="E47" s="16">
        <v>0.3</v>
      </c>
      <c r="G47" s="19">
        <f>IF(C47="Sí",E47*'accions tipus resultats'!B35*calculs!$B$18,0)</f>
        <v>1728.386951473794</v>
      </c>
    </row>
    <row r="48" spans="1:7" ht="12.75">
      <c r="A48" s="9" t="str">
        <f>'accions tipus resultats'!A36</f>
        <v>Transport privat: Pacificació trànsit, bicicletes, a peu, etc.</v>
      </c>
      <c r="C48" s="22"/>
      <c r="E48" s="16">
        <v>1</v>
      </c>
      <c r="G48" s="19">
        <f>IF(C48="Sí",E48*'accions tipus resultats'!B36*calculs!$B$27,0)</f>
        <v>0</v>
      </c>
    </row>
    <row r="49" spans="1:7" ht="12.75">
      <c r="A49" s="9" t="str">
        <f>'accions tipus resultats'!A37</f>
        <v>Peatges de congestió </v>
      </c>
      <c r="C49" s="22"/>
      <c r="E49" s="16">
        <v>1</v>
      </c>
      <c r="G49" s="19">
        <f>IF(C49="Sí",E49*'accions tipus resultats'!B37*calculs!$B$27,0)</f>
        <v>0</v>
      </c>
    </row>
    <row r="50" spans="1:7" ht="12.75">
      <c r="A50" s="9" t="str">
        <f>'accions tipus resultats'!A38</f>
        <v>Renovació flota privada amb vehicles més eficients</v>
      </c>
      <c r="C50" s="22" t="s">
        <v>137</v>
      </c>
      <c r="E50" s="16">
        <v>0.3</v>
      </c>
      <c r="G50" s="19">
        <f>IF(C50="Sí",E50*'accions tipus resultats'!B38*calculs!$B$27,0)</f>
        <v>488.1239448430482</v>
      </c>
    </row>
    <row r="51" spans="1:7" ht="12.75">
      <c r="A51" s="9" t="str">
        <f>'accions tipus resultats'!A39</f>
        <v> Extensió del vehicle elèctric: punts recàrrega, ajuts (e verda)</v>
      </c>
      <c r="C51" s="22" t="s">
        <v>137</v>
      </c>
      <c r="E51" s="16">
        <v>0.3</v>
      </c>
      <c r="G51" s="19">
        <f>IF(C51="Sí",E51*'accions tipus resultats'!B39*calculs!$B$27,0)</f>
        <v>4881.239448430482</v>
      </c>
    </row>
    <row r="52" spans="1:7" ht="12.75">
      <c r="A52" s="9" t="str">
        <f>'accions tipus resultats'!A40</f>
        <v>Residus: canvis en el model de recollida per assolir objectius </v>
      </c>
      <c r="C52" s="22"/>
      <c r="E52" s="16">
        <v>1</v>
      </c>
      <c r="G52" s="19">
        <f>IF(C52="Sí",E52*'accions tipus resultats'!B40*calculs!$B$28,0)</f>
        <v>0</v>
      </c>
    </row>
    <row r="53" spans="1:7" ht="12.75">
      <c r="A53" s="9">
        <f>'accions tipus resultats'!A41</f>
        <v>0</v>
      </c>
      <c r="C53" s="13"/>
      <c r="E53" s="16"/>
      <c r="G53" s="19"/>
    </row>
    <row r="54" spans="1:7" ht="12.75">
      <c r="A54" s="9">
        <f>'accions tipus resultats'!A42</f>
        <v>0</v>
      </c>
      <c r="C54" s="13"/>
      <c r="E54" s="16"/>
      <c r="G54" s="19"/>
    </row>
    <row r="55" spans="1:7" ht="12.75">
      <c r="A55" s="9">
        <f>'accions tipus resultats'!A43</f>
        <v>0</v>
      </c>
      <c r="C55" s="13"/>
      <c r="E55" s="16"/>
      <c r="G55" s="19"/>
    </row>
    <row r="56" spans="1:7" ht="12.75">
      <c r="A56" s="9">
        <f>'accions tipus resultats'!A44</f>
        <v>0</v>
      </c>
      <c r="C56" s="13"/>
      <c r="E56" s="16"/>
      <c r="G56" s="19"/>
    </row>
    <row r="57" spans="1:7" ht="12.75">
      <c r="A57" s="9">
        <f>'accions tipus resultats'!A45</f>
        <v>0</v>
      </c>
      <c r="C57" s="13"/>
      <c r="E57" s="16"/>
      <c r="G57" s="19"/>
    </row>
    <row r="58" spans="1:7" ht="12.75">
      <c r="A58" s="9">
        <f>'accions tipus resultats'!A46</f>
        <v>0</v>
      </c>
      <c r="C58" s="13"/>
      <c r="E58" s="16"/>
      <c r="G58" s="19"/>
    </row>
    <row r="59" spans="1:7" ht="12.75">
      <c r="A59" s="9">
        <f>'accions tipus resultats'!A47</f>
        <v>0</v>
      </c>
      <c r="C59" s="13"/>
      <c r="E59" s="16"/>
      <c r="G59" s="19"/>
    </row>
    <row r="60" spans="1:7" ht="12.75">
      <c r="A60" s="9">
        <f>'accions tipus resultats'!A48</f>
        <v>0</v>
      </c>
      <c r="C60" s="13"/>
      <c r="E60" s="16"/>
      <c r="G60" s="19"/>
    </row>
    <row r="61" spans="1:7" ht="12.75">
      <c r="A61" s="9">
        <f>'accions tipus resultats'!A49</f>
        <v>0</v>
      </c>
      <c r="C61" s="13"/>
      <c r="E61" s="16"/>
      <c r="G61" s="19"/>
    </row>
    <row r="62" spans="1:7" ht="12.75">
      <c r="A62" s="9">
        <f>'accions tipus resultats'!A50</f>
        <v>0</v>
      </c>
      <c r="C62" s="13"/>
      <c r="E62" s="16"/>
      <c r="G62" s="19"/>
    </row>
    <row r="63" spans="1:7" ht="12.75">
      <c r="A63" s="9">
        <f>'accions tipus resultats'!A51</f>
        <v>0</v>
      </c>
      <c r="C63" s="13"/>
      <c r="E63" s="16"/>
      <c r="G63" s="19"/>
    </row>
    <row r="64" spans="1:7" ht="12.75">
      <c r="A64" s="9">
        <f>'accions tipus resultats'!A52</f>
        <v>0</v>
      </c>
      <c r="C64" s="13"/>
      <c r="E64" s="16"/>
      <c r="G64" s="19"/>
    </row>
    <row r="65" spans="1:7" ht="12.75">
      <c r="A65" s="9">
        <f>'accions tipus resultats'!A53</f>
        <v>0</v>
      </c>
      <c r="C65" s="13"/>
      <c r="E65" s="16"/>
      <c r="G65" s="19"/>
    </row>
    <row r="66" spans="1:7" ht="12.75">
      <c r="A66" s="9">
        <f>'accions tipus resultats'!A54</f>
        <v>0</v>
      </c>
      <c r="C66" s="13"/>
      <c r="E66" s="16"/>
      <c r="G66" s="19"/>
    </row>
    <row r="67" spans="1:7" ht="12.75">
      <c r="A67" s="9">
        <f>'accions tipus resultats'!A55</f>
        <v>0</v>
      </c>
      <c r="C67" s="13"/>
      <c r="E67" s="16"/>
      <c r="G67" s="19"/>
    </row>
    <row r="68" spans="1:7" ht="12.75">
      <c r="A68" s="9">
        <f>'accions tipus resultats'!A56</f>
        <v>0</v>
      </c>
      <c r="C68" s="13"/>
      <c r="E68" s="16"/>
      <c r="G68" s="19"/>
    </row>
    <row r="69" spans="1:7" ht="12.75">
      <c r="A69" s="9">
        <f>'accions tipus resultats'!A57</f>
        <v>0</v>
      </c>
      <c r="C69" s="13"/>
      <c r="E69" s="16"/>
      <c r="G69" s="19"/>
    </row>
    <row r="70" spans="1:7" ht="12.75">
      <c r="A70" s="9">
        <f>'accions tipus resultats'!A58</f>
        <v>0</v>
      </c>
      <c r="C70" s="13"/>
      <c r="E70" s="16"/>
      <c r="G70" s="19"/>
    </row>
    <row r="71" spans="1:7" ht="12.75">
      <c r="A71" s="9">
        <f>'accions tipus resultats'!A59</f>
        <v>0</v>
      </c>
      <c r="C71" s="13"/>
      <c r="E71" s="16"/>
      <c r="G71" s="19"/>
    </row>
    <row r="72" spans="1:7" ht="12.75">
      <c r="A72" s="9">
        <f>'accions tipus resultats'!A60</f>
        <v>0</v>
      </c>
      <c r="C72" s="13"/>
      <c r="E72" s="16"/>
      <c r="G72" s="19"/>
    </row>
    <row r="73" spans="1:7" ht="12.75">
      <c r="A73" s="9">
        <f>'accions tipus resultats'!A61</f>
        <v>0</v>
      </c>
      <c r="C73" s="13"/>
      <c r="E73" s="16"/>
      <c r="G73" s="19"/>
    </row>
    <row r="74" spans="1:7" ht="12.75">
      <c r="A74" s="9">
        <f>'accions tipus resultats'!A62</f>
        <v>0</v>
      </c>
      <c r="C74" s="13"/>
      <c r="E74" s="16"/>
      <c r="G74" s="19"/>
    </row>
    <row r="75" spans="1:7" ht="12.75">
      <c r="A75" s="9">
        <f>'accions tipus resultats'!A63</f>
        <v>0</v>
      </c>
      <c r="C75" s="13"/>
      <c r="E75" s="16"/>
      <c r="G75" s="19"/>
    </row>
  </sheetData>
  <sheetProtection/>
  <conditionalFormatting sqref="G8">
    <cfRule type="expression" priority="1" dxfId="1" stopIfTrue="1">
      <formula>$G$8&gt;$C$10</formula>
    </cfRule>
    <cfRule type="expression" priority="2" dxfId="0" stopIfTrue="1">
      <formula>$G$8&lt;$C$10</formula>
    </cfRule>
  </conditionalFormatting>
  <dataValidations count="2">
    <dataValidation type="list" allowBlank="1" showInputMessage="1" showErrorMessage="1" sqref="C54 C56 C58 C60 C62 C64 C66 C68 C70 C72 C74 C14:C52">
      <formula1>"Sí, No"</formula1>
    </dataValidation>
    <dataValidation type="list" allowBlank="1" showInputMessage="1" showErrorMessage="1" sqref="C2:D3">
      <formula1>midampi</formula1>
    </dataValidation>
  </dataValidations>
  <printOptions/>
  <pageMargins left="0.75" right="0.75" top="1" bottom="1" header="0" footer="0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32" sqref="B32"/>
    </sheetView>
  </sheetViews>
  <sheetFormatPr defaultColWidth="11.421875" defaultRowHeight="12.75"/>
  <cols>
    <col min="1" max="1" width="20.28125" style="0" customWidth="1"/>
    <col min="2" max="2" width="14.57421875" style="0" customWidth="1"/>
  </cols>
  <sheetData>
    <row r="1" spans="1:4" ht="12.75">
      <c r="A1" s="12" t="s">
        <v>100</v>
      </c>
      <c r="B1" t="str">
        <f>'simulador accions'!C2</f>
        <v>Mitjana general</v>
      </c>
      <c r="D1">
        <f>SUMIF(C:C,1,B:B)</f>
        <v>64922.59582340236</v>
      </c>
    </row>
    <row r="2" spans="1:2" ht="12.75">
      <c r="A2" s="12" t="s">
        <v>101</v>
      </c>
      <c r="B2">
        <f>VLOOKUP($B$1,ENERGIA,13,FALSE)*'dades consums mitjanes'!B11</f>
        <v>497.2479355741622</v>
      </c>
    </row>
    <row r="3" spans="1:2" ht="12.75">
      <c r="A3" s="12" t="s">
        <v>102</v>
      </c>
      <c r="B3">
        <f>VLOOKUP($B$1,ENERGIA,14,FALSE)*'dades consums mitjanes'!B12</f>
        <v>165.58235671838932</v>
      </c>
    </row>
    <row r="4" spans="1:2" ht="12.75">
      <c r="A4" s="12" t="s">
        <v>103</v>
      </c>
      <c r="B4">
        <f>VLOOKUP($B$1,ENERGIA,15,FALSE)*'dades consums mitjanes'!B13</f>
        <v>42.999979892948275</v>
      </c>
    </row>
    <row r="5" spans="1:2" ht="12.75">
      <c r="A5" s="12" t="s">
        <v>104</v>
      </c>
      <c r="B5">
        <f>VLOOKUP($B$1,ENERGIA,16,FALSE)*'dades consums mitjanes'!B14</f>
        <v>6.943699675870598</v>
      </c>
    </row>
    <row r="6" spans="1:2" ht="12.75">
      <c r="A6" s="12" t="s">
        <v>105</v>
      </c>
      <c r="B6">
        <f>SUM(B3:B5)</f>
        <v>215.5260362872082</v>
      </c>
    </row>
    <row r="7" spans="1:2" ht="12.75">
      <c r="A7" s="12" t="s">
        <v>106</v>
      </c>
      <c r="B7">
        <f>SUM(B2:B5)</f>
        <v>712.7739718613705</v>
      </c>
    </row>
    <row r="8" spans="1:2" ht="12.75">
      <c r="A8" s="12" t="s">
        <v>107</v>
      </c>
      <c r="B8">
        <f>'dades consums mitjanes'!B11*VLOOKUP(calculs!B1,ENERGIA,17,FALSE)</f>
        <v>753.8229148687828</v>
      </c>
    </row>
    <row r="9" spans="1:3" ht="12.75">
      <c r="A9" s="21" t="s">
        <v>108</v>
      </c>
      <c r="B9">
        <f>B7+B8</f>
        <v>1466.5968867301533</v>
      </c>
      <c r="C9">
        <v>1</v>
      </c>
    </row>
    <row r="10" spans="1:3" ht="12.75">
      <c r="A10" s="21" t="s">
        <v>109</v>
      </c>
      <c r="B10">
        <f>VLOOKUP($B$1,ENERGIA,18,FALSE)*'dades consums mitjanes'!B15+VLOOKUP($B$1,ENERGIA,19,FALSE)*'dades consums mitjanes'!B16</f>
        <v>176.96336632759932</v>
      </c>
      <c r="C10">
        <v>1</v>
      </c>
    </row>
    <row r="11" spans="1:3" ht="12.75">
      <c r="A11" s="21" t="s">
        <v>113</v>
      </c>
      <c r="B11">
        <f>VLOOKUP($B$1,ENERGIA,20,FALSE)*'dades consums mitjanes'!B15+VLOOKUP($B$1,ENERGIA,21,FALSE)*'dades consums mitjanes'!B16</f>
        <v>91.27275604199365</v>
      </c>
      <c r="C11">
        <v>1</v>
      </c>
    </row>
    <row r="12" spans="1:2" ht="12.75">
      <c r="A12" s="12" t="s">
        <v>114</v>
      </c>
      <c r="B12">
        <f>VLOOKUP($B$1,ENERGIA,6,FALSE)*'dades consums mitjanes'!B11</f>
        <v>16280.732058658974</v>
      </c>
    </row>
    <row r="13" spans="1:2" ht="12.75">
      <c r="A13" s="12" t="s">
        <v>115</v>
      </c>
      <c r="B13">
        <f>VLOOKUP($B$1,ENERGIA,7,FALSE)*'dades consums mitjanes'!B12</f>
        <v>3337.747399388076</v>
      </c>
    </row>
    <row r="14" spans="1:2" ht="12.75">
      <c r="A14" s="12" t="s">
        <v>116</v>
      </c>
      <c r="B14">
        <f>VLOOKUP($B$1,ENERGIA,8,FALSE)*'dades consums mitjanes'!B13</f>
        <v>432.0155924105446</v>
      </c>
    </row>
    <row r="15" spans="1:2" ht="12.75">
      <c r="A15" s="12" t="s">
        <v>117</v>
      </c>
      <c r="B15">
        <f>VLOOKUP($B$1,ENERGIA,9,FALSE)*'dades consums mitjanes'!B14</f>
        <v>322.1824761910804</v>
      </c>
    </row>
    <row r="16" spans="1:2" ht="12.75">
      <c r="A16" s="12" t="s">
        <v>118</v>
      </c>
      <c r="B16">
        <f>SUM(B13:B15)</f>
        <v>4091.945467989701</v>
      </c>
    </row>
    <row r="17" spans="1:3" ht="12.75">
      <c r="A17" s="21" t="s">
        <v>119</v>
      </c>
      <c r="B17">
        <f>B16+B12</f>
        <v>20372.677526648673</v>
      </c>
      <c r="C17">
        <v>1</v>
      </c>
    </row>
    <row r="18" spans="1:2" ht="12.75">
      <c r="A18" s="12" t="s">
        <v>120</v>
      </c>
      <c r="B18">
        <f>VLOOKUP($B$1,ENERGIA,2,FALSE)*'dades consums mitjanes'!B11</f>
        <v>11522.57967649196</v>
      </c>
    </row>
    <row r="19" spans="1:2" ht="12.75">
      <c r="A19" s="12" t="s">
        <v>121</v>
      </c>
      <c r="B19">
        <f>VLOOKUP($B$1,ENERGIA,3,FALSE)*'dades consums mitjanes'!B12</f>
        <v>13296.618794579746</v>
      </c>
    </row>
    <row r="20" spans="1:2" ht="12.75">
      <c r="A20" s="12" t="s">
        <v>122</v>
      </c>
      <c r="B20">
        <f>VLOOKUP($B$1,ENERGIA,4,FALSE)*'dades consums mitjanes'!B13</f>
        <v>871.1920220285942</v>
      </c>
    </row>
    <row r="21" spans="1:2" ht="12.75">
      <c r="A21" s="12" t="s">
        <v>123</v>
      </c>
      <c r="B21">
        <f>VLOOKUP($B$1,ENERGIA,5,FALSE)*'dades consums mitjanes'!B14</f>
        <v>853.8966331186986</v>
      </c>
    </row>
    <row r="22" spans="1:2" ht="12.75">
      <c r="A22" s="12" t="s">
        <v>124</v>
      </c>
      <c r="B22">
        <f>SUM(B19:B21)</f>
        <v>15021.707449727039</v>
      </c>
    </row>
    <row r="23" spans="1:3" ht="12.75">
      <c r="A23" s="21" t="s">
        <v>125</v>
      </c>
      <c r="B23" s="21">
        <f>B18+B22</f>
        <v>26544.287126219</v>
      </c>
      <c r="C23" s="21">
        <v>1</v>
      </c>
    </row>
    <row r="24" spans="1:2" ht="12.75">
      <c r="A24" s="12" t="s">
        <v>126</v>
      </c>
      <c r="B24">
        <f>VLOOKUP($B$1,ENERGIA,9,FALSE)*'dades consums mitjanes'!B15</f>
        <v>308.55167912145777</v>
      </c>
    </row>
    <row r="25" spans="1:2" ht="12.75">
      <c r="A25" s="12" t="s">
        <v>127</v>
      </c>
      <c r="B25">
        <f>VLOOKUP($B$1,ENERGIA,10,FALSE)*'dades consums mitjanes'!B16</f>
        <v>8164.5973386545975</v>
      </c>
    </row>
    <row r="26" spans="1:2" ht="12.75">
      <c r="A26" s="12" t="s">
        <v>128</v>
      </c>
      <c r="B26">
        <f>VLOOKUP($B$1,ENERGIA,10,FALSE)*'dades consums mitjanes'!B17</f>
        <v>7797.649143658886</v>
      </c>
    </row>
    <row r="27" spans="1:3" s="21" customFormat="1" ht="12.75">
      <c r="A27" s="21" t="s">
        <v>7</v>
      </c>
      <c r="B27" s="21">
        <f>B24+B25+B26</f>
        <v>16270.798161434941</v>
      </c>
      <c r="C27" s="21">
        <v>1</v>
      </c>
    </row>
    <row r="28" spans="1:3" ht="12.75">
      <c r="A28" s="12" t="s">
        <v>129</v>
      </c>
      <c r="B28">
        <f>VLOOKUP(B1,ENERGIA,29,FALSE)</f>
        <v>0</v>
      </c>
      <c r="C28">
        <v>1</v>
      </c>
    </row>
    <row r="29" spans="1:3" ht="12.75">
      <c r="A29" s="12" t="s">
        <v>130</v>
      </c>
      <c r="B29">
        <f>VLOOKUP(B1,ENERGIA,30,FALSE)</f>
        <v>0</v>
      </c>
      <c r="C29">
        <v>1</v>
      </c>
    </row>
    <row r="32" spans="2:3" ht="12.75">
      <c r="B32" t="s">
        <v>135</v>
      </c>
      <c r="C32" s="12" t="s">
        <v>136</v>
      </c>
    </row>
    <row r="33" spans="1:3" ht="12.75">
      <c r="A33" s="12" t="s">
        <v>135</v>
      </c>
      <c r="B33" s="31">
        <f>'simulador accions'!C10</f>
        <v>25969.038329360945</v>
      </c>
      <c r="C33" s="31">
        <f>'simulador accions'!G8</f>
        <v>14332.572164721949</v>
      </c>
    </row>
    <row r="34" spans="1:2" ht="12.75">
      <c r="A34" s="12" t="s">
        <v>136</v>
      </c>
      <c r="B34" s="31">
        <f>'simulador accions'!G8</f>
        <v>14332.572164721949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8"/>
  <sheetViews>
    <sheetView zoomScalePageLayoutView="0" workbookViewId="0" topLeftCell="P1">
      <selection activeCell="Y16" sqref="Y16"/>
    </sheetView>
  </sheetViews>
  <sheetFormatPr defaultColWidth="11.421875" defaultRowHeight="12.75"/>
  <cols>
    <col min="1" max="1" width="19.28125" style="0" customWidth="1"/>
    <col min="2" max="2" width="16.7109375" style="0" customWidth="1"/>
    <col min="3" max="3" width="16.57421875" style="0" customWidth="1"/>
    <col min="4" max="4" width="11.421875" style="0" customWidth="1"/>
    <col min="5" max="5" width="14.140625" style="0" customWidth="1"/>
    <col min="6" max="6" width="15.57421875" style="0" customWidth="1"/>
    <col min="7" max="7" width="13.140625" style="0" customWidth="1"/>
    <col min="8" max="9" width="12.7109375" style="0" bestFit="1" customWidth="1"/>
    <col min="10" max="10" width="14.57421875" style="0" customWidth="1"/>
    <col min="11" max="11" width="15.7109375" style="0" customWidth="1"/>
    <col min="12" max="22" width="11.421875" style="0" customWidth="1"/>
    <col min="23" max="23" width="19.00390625" style="0" customWidth="1"/>
    <col min="24" max="32" width="11.421875" style="0" customWidth="1"/>
    <col min="33" max="33" width="20.7109375" style="0" customWidth="1"/>
    <col min="34" max="35" width="11.57421875" style="2" customWidth="1"/>
  </cols>
  <sheetData>
    <row r="1" spans="1:32" ht="12.75">
      <c r="A1" t="s">
        <v>26</v>
      </c>
      <c r="B1" s="33" t="s">
        <v>1</v>
      </c>
      <c r="C1" s="33"/>
      <c r="D1" s="33"/>
      <c r="E1" s="33"/>
      <c r="F1" s="33" t="s">
        <v>6</v>
      </c>
      <c r="G1" s="33"/>
      <c r="H1" s="33"/>
      <c r="I1" s="33"/>
      <c r="J1" s="33" t="s">
        <v>7</v>
      </c>
      <c r="K1" s="33"/>
      <c r="L1" s="33"/>
      <c r="M1" s="33" t="s">
        <v>11</v>
      </c>
      <c r="N1" s="33"/>
      <c r="O1" s="33"/>
      <c r="P1" s="33"/>
      <c r="Q1" s="33"/>
      <c r="R1" s="33"/>
      <c r="S1" s="33"/>
      <c r="T1" s="1"/>
      <c r="U1" s="1"/>
      <c r="V1" s="1"/>
      <c r="W1" s="1"/>
      <c r="Z1" s="33"/>
      <c r="AA1" s="33"/>
      <c r="AB1" s="33"/>
      <c r="AC1" s="33"/>
      <c r="AD1" s="33"/>
      <c r="AE1" s="33"/>
      <c r="AF1" s="33"/>
    </row>
    <row r="2" spans="1:28" ht="12.75">
      <c r="A2" t="s">
        <v>0</v>
      </c>
      <c r="B2" t="s">
        <v>2</v>
      </c>
      <c r="C2" t="s">
        <v>3</v>
      </c>
      <c r="D2" t="s">
        <v>4</v>
      </c>
      <c r="E2" t="s">
        <v>5</v>
      </c>
      <c r="F2" t="s">
        <v>2</v>
      </c>
      <c r="G2" t="s">
        <v>3</v>
      </c>
      <c r="H2" t="s">
        <v>4</v>
      </c>
      <c r="I2" t="s">
        <v>5</v>
      </c>
      <c r="J2" t="s">
        <v>8</v>
      </c>
      <c r="K2" t="s">
        <v>9</v>
      </c>
      <c r="L2" t="s">
        <v>10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s="12" t="s">
        <v>110</v>
      </c>
      <c r="U2" s="12" t="s">
        <v>111</v>
      </c>
      <c r="V2" s="12" t="s">
        <v>133</v>
      </c>
      <c r="W2" t="s">
        <v>21</v>
      </c>
      <c r="X2" t="s">
        <v>19</v>
      </c>
      <c r="Y2" t="s">
        <v>20</v>
      </c>
      <c r="AB2" s="12"/>
    </row>
    <row r="3" spans="1:25" ht="12.75">
      <c r="A3" s="12" t="s">
        <v>131</v>
      </c>
      <c r="B3" s="17">
        <v>673350.0531914893</v>
      </c>
      <c r="C3" s="17">
        <v>1447476.5</v>
      </c>
      <c r="D3" s="17">
        <v>500650.4615872585</v>
      </c>
      <c r="E3" s="17">
        <v>267040.12816532404</v>
      </c>
      <c r="F3" s="17">
        <v>670409.2347047764</v>
      </c>
      <c r="G3" s="17">
        <v>436433.27867947373</v>
      </c>
      <c r="H3" s="17">
        <v>165721.95096265472</v>
      </c>
      <c r="I3" s="17">
        <v>85596.26919176079</v>
      </c>
      <c r="J3" s="17">
        <v>802356.5075032486</v>
      </c>
      <c r="K3" s="17">
        <v>3153945.309398009</v>
      </c>
      <c r="L3" s="17">
        <v>5905.530733028248</v>
      </c>
      <c r="M3" s="17">
        <v>68461.80318844621</v>
      </c>
      <c r="N3" s="17">
        <v>3004.5416666666665</v>
      </c>
      <c r="O3" s="17">
        <v>56394.77470653051</v>
      </c>
      <c r="P3" s="17">
        <v>3081.463127434634</v>
      </c>
      <c r="Q3" s="17">
        <v>81273.89378616116</v>
      </c>
      <c r="R3" s="17">
        <v>509.1524141666667</v>
      </c>
      <c r="S3" s="17">
        <v>28570.14609533477</v>
      </c>
      <c r="T3" s="17">
        <v>0</v>
      </c>
      <c r="U3" s="17">
        <v>480.54249999999996</v>
      </c>
      <c r="V3" s="17">
        <v>0</v>
      </c>
      <c r="W3" s="17">
        <f>SUM(B3:U3)</f>
        <v>8450661.541601766</v>
      </c>
      <c r="X3" s="17">
        <v>140.77356156395751</v>
      </c>
      <c r="Y3" s="17">
        <v>4.253475804243142</v>
      </c>
    </row>
    <row r="4" spans="1:25" ht="12.75">
      <c r="A4" s="12" t="s">
        <v>132</v>
      </c>
      <c r="B4" s="17">
        <v>3889799.9770114943</v>
      </c>
      <c r="C4" s="17">
        <v>4672412.308571429</v>
      </c>
      <c r="D4" s="17">
        <v>2499832.291954317</v>
      </c>
      <c r="E4" s="17">
        <v>1463501.9295544317</v>
      </c>
      <c r="F4" s="17">
        <v>3891045.1264367816</v>
      </c>
      <c r="G4" s="17">
        <v>1175132.6399376523</v>
      </c>
      <c r="H4" s="17">
        <v>588924.3079299282</v>
      </c>
      <c r="I4" s="17">
        <v>342075.8523482275</v>
      </c>
      <c r="J4" s="17">
        <v>4269011.356370604</v>
      </c>
      <c r="K4" s="17">
        <v>16866200.883540265</v>
      </c>
      <c r="L4" s="17">
        <v>31787.43905804672</v>
      </c>
      <c r="M4" s="17">
        <v>228606.3348984322</v>
      </c>
      <c r="N4" s="17">
        <v>65343.25367943501</v>
      </c>
      <c r="O4" s="17">
        <v>133056.5353036884</v>
      </c>
      <c r="P4" s="17">
        <v>51008.98087650994</v>
      </c>
      <c r="Q4" s="17">
        <v>450741.79271950416</v>
      </c>
      <c r="R4" s="17">
        <v>2847.28125349617</v>
      </c>
      <c r="S4" s="17">
        <v>142743.2952365715</v>
      </c>
      <c r="T4" s="17">
        <v>0</v>
      </c>
      <c r="U4" s="17">
        <v>9897.656118957142</v>
      </c>
      <c r="V4" s="17">
        <v>0</v>
      </c>
      <c r="W4" s="17">
        <f>SUM(B4:U4)</f>
        <v>40773969.242799774</v>
      </c>
      <c r="X4" s="17">
        <v>836.5448547421639</v>
      </c>
      <c r="Y4" s="17">
        <v>26.383394377135804</v>
      </c>
    </row>
    <row r="5" spans="1:25" ht="12.75">
      <c r="A5" t="s">
        <v>22</v>
      </c>
      <c r="B5" s="17">
        <v>15054591.894117648</v>
      </c>
      <c r="C5" s="17">
        <v>21754144.30263158</v>
      </c>
      <c r="D5" s="17">
        <v>4924917.68661053</v>
      </c>
      <c r="E5" s="17">
        <v>1962684.7627770104</v>
      </c>
      <c r="F5" s="17">
        <v>17331102.54117647</v>
      </c>
      <c r="G5" s="17">
        <v>4032637.6416186034</v>
      </c>
      <c r="H5" s="17">
        <v>934093.8762792841</v>
      </c>
      <c r="I5" s="17">
        <v>738104.3352446728</v>
      </c>
      <c r="J5" s="17">
        <v>16963828.978690322</v>
      </c>
      <c r="K5" s="17">
        <v>57213966.21604966</v>
      </c>
      <c r="L5" s="17">
        <v>108516.96559687334</v>
      </c>
      <c r="M5" s="17">
        <v>767738.257470375</v>
      </c>
      <c r="N5" s="17">
        <v>728740.9423434518</v>
      </c>
      <c r="O5" s="17">
        <v>173777.50644644562</v>
      </c>
      <c r="P5" s="17">
        <v>21799.638197498978</v>
      </c>
      <c r="Q5" s="17">
        <v>1391055.0848702223</v>
      </c>
      <c r="R5" s="17">
        <v>18407.750542103553</v>
      </c>
      <c r="S5" s="17">
        <v>498440.4991938034</v>
      </c>
      <c r="T5" s="17">
        <v>0</v>
      </c>
      <c r="U5" s="17">
        <v>54196.07384767634</v>
      </c>
      <c r="V5" s="17">
        <v>0</v>
      </c>
      <c r="W5" s="17">
        <f>SUM(B5:U5)</f>
        <v>144672744.95370427</v>
      </c>
      <c r="X5" s="17">
        <v>2961.944330220594</v>
      </c>
      <c r="Y5" s="17">
        <v>99.54814009503777</v>
      </c>
    </row>
    <row r="6" spans="1:25" ht="12.75">
      <c r="A6" t="s">
        <v>23</v>
      </c>
      <c r="B6" s="17">
        <v>40853784.34615385</v>
      </c>
      <c r="C6" s="17">
        <v>66232437.192307696</v>
      </c>
      <c r="D6" s="17">
        <v>3644755.4489491954</v>
      </c>
      <c r="E6" s="17">
        <v>4934700.852337786</v>
      </c>
      <c r="F6" s="17">
        <v>54528008.34615385</v>
      </c>
      <c r="G6" s="17">
        <v>13070732.961538462</v>
      </c>
      <c r="H6" s="17">
        <v>2115344.6380804237</v>
      </c>
      <c r="I6" s="17">
        <v>1997463.49092752</v>
      </c>
      <c r="J6" s="17">
        <v>50937085.01939808</v>
      </c>
      <c r="K6" s="17">
        <v>148263947.1260919</v>
      </c>
      <c r="L6" s="17">
        <v>297704.7816905909</v>
      </c>
      <c r="M6" s="17">
        <v>2390470.682204045</v>
      </c>
      <c r="N6" s="17">
        <v>1781458.4269886685</v>
      </c>
      <c r="O6" s="17">
        <v>160556.8736424284</v>
      </c>
      <c r="P6" s="17">
        <v>21164.54958179848</v>
      </c>
      <c r="Q6" s="17">
        <v>3182945.8406908144</v>
      </c>
      <c r="R6" s="17">
        <v>110012.96063470836</v>
      </c>
      <c r="S6" s="17">
        <v>1447596.9890655694</v>
      </c>
      <c r="T6" s="17">
        <v>24857.784</v>
      </c>
      <c r="U6" s="17">
        <v>678876.9605852157</v>
      </c>
      <c r="V6" s="17">
        <v>0</v>
      </c>
      <c r="W6" s="17">
        <f>SUM(B6:S6)</f>
        <v>395970170.5264374</v>
      </c>
      <c r="X6" s="17">
        <v>7676.670494926495</v>
      </c>
      <c r="Y6" s="17">
        <v>272.1548011237278</v>
      </c>
    </row>
    <row r="7" spans="1:25" ht="12.75">
      <c r="A7" t="s">
        <v>24</v>
      </c>
      <c r="B7" s="17">
        <v>247716003.2631579</v>
      </c>
      <c r="C7" s="17">
        <v>360975677.57894737</v>
      </c>
      <c r="D7" s="17">
        <v>6589870.088377592</v>
      </c>
      <c r="E7" s="17">
        <v>30201835.526691914</v>
      </c>
      <c r="F7" s="17">
        <v>380748202.42105263</v>
      </c>
      <c r="G7" s="17">
        <v>99562870.89473684</v>
      </c>
      <c r="H7" s="17">
        <v>12981312.940949535</v>
      </c>
      <c r="I7" s="17">
        <v>12257907.386373522</v>
      </c>
      <c r="J7" s="17">
        <v>331418888.4334895</v>
      </c>
      <c r="K7" s="17">
        <v>696236554.2548637</v>
      </c>
      <c r="L7" s="17">
        <v>1693172.0047047085</v>
      </c>
      <c r="M7" s="17">
        <v>6022521.036109198</v>
      </c>
      <c r="N7" s="17">
        <v>4994792.891962771</v>
      </c>
      <c r="O7" s="17">
        <v>257596.24482539183</v>
      </c>
      <c r="P7" s="17">
        <v>24430.271275162253</v>
      </c>
      <c r="Q7" s="17">
        <v>8400432.645370372</v>
      </c>
      <c r="R7" s="17">
        <v>257750.39869597196</v>
      </c>
      <c r="S7" s="17">
        <v>3537866.220779078</v>
      </c>
      <c r="T7" s="17">
        <v>0</v>
      </c>
      <c r="U7" s="17">
        <v>3305225.6391094076</v>
      </c>
      <c r="V7" s="17">
        <v>370820.16</v>
      </c>
      <c r="W7" s="17">
        <f>SUM(B7:S7)</f>
        <v>2203877684.5023627</v>
      </c>
      <c r="X7" s="17">
        <v>53507.49295191539</v>
      </c>
      <c r="Y7" s="17">
        <v>1623.118099178379</v>
      </c>
    </row>
    <row r="8" spans="1:25" ht="12.75">
      <c r="A8" t="s">
        <v>25</v>
      </c>
      <c r="B8" s="17">
        <v>23955467.10289389</v>
      </c>
      <c r="C8" s="17">
        <v>65824845.51772151</v>
      </c>
      <c r="D8" s="17">
        <v>2903973.406761981</v>
      </c>
      <c r="E8" s="17">
        <v>3284217.819687302</v>
      </c>
      <c r="F8" s="17">
        <v>33847675.79762781</v>
      </c>
      <c r="G8" s="17">
        <v>16523501.977168692</v>
      </c>
      <c r="H8" s="17">
        <v>1440051.9747018155</v>
      </c>
      <c r="I8" s="17">
        <v>1239163.369965694</v>
      </c>
      <c r="J8" s="17">
        <v>30579016.24964269</v>
      </c>
      <c r="K8" s="17">
        <v>76239146.68950622</v>
      </c>
      <c r="L8" s="17">
        <v>168666.11439239158</v>
      </c>
      <c r="M8" s="17">
        <v>1033779.4918381751</v>
      </c>
      <c r="N8" s="17">
        <v>819714.637219749</v>
      </c>
      <c r="O8" s="17">
        <v>143333.2663098276</v>
      </c>
      <c r="P8" s="17">
        <v>26706.537214886917</v>
      </c>
      <c r="Q8" s="17">
        <v>1567199.4072116069</v>
      </c>
      <c r="R8" s="17">
        <v>37782.46870352549</v>
      </c>
      <c r="S8" s="17">
        <v>627548.8075671217</v>
      </c>
      <c r="T8" s="17">
        <v>2589.3525</v>
      </c>
      <c r="U8" s="17">
        <v>339430.7388370549</v>
      </c>
      <c r="V8" s="17">
        <v>27811.512</v>
      </c>
      <c r="W8" s="17">
        <f>SUM(B8:S8)</f>
        <v>260261790.63613492</v>
      </c>
      <c r="X8" s="17">
        <v>4996.826958755022</v>
      </c>
      <c r="Y8" s="17">
        <v>159.78836727972967</v>
      </c>
    </row>
    <row r="9" spans="2:5" ht="12.75">
      <c r="B9" s="17"/>
      <c r="C9" s="17"/>
      <c r="D9" s="17"/>
      <c r="E9" s="17"/>
    </row>
    <row r="10" ht="12.75">
      <c r="A10" s="12" t="s">
        <v>92</v>
      </c>
    </row>
    <row r="11" spans="1:2" ht="12.75">
      <c r="A11" s="12" t="s">
        <v>49</v>
      </c>
      <c r="B11">
        <v>0.000481</v>
      </c>
    </row>
    <row r="12" spans="1:2" ht="12.75">
      <c r="A12" s="12" t="s">
        <v>93</v>
      </c>
      <c r="B12">
        <v>0.000202</v>
      </c>
    </row>
    <row r="13" spans="1:2" ht="12.75">
      <c r="A13" s="12" t="s">
        <v>94</v>
      </c>
      <c r="B13">
        <v>0.0003</v>
      </c>
    </row>
    <row r="14" spans="1:2" ht="12.75">
      <c r="A14" s="12" t="s">
        <v>95</v>
      </c>
      <c r="B14">
        <v>0.00026</v>
      </c>
    </row>
    <row r="15" spans="1:2" ht="12.75">
      <c r="A15" s="12" t="s">
        <v>97</v>
      </c>
      <c r="B15">
        <v>0.000249</v>
      </c>
    </row>
    <row r="16" spans="1:2" ht="12.75">
      <c r="A16" s="12" t="s">
        <v>96</v>
      </c>
      <c r="B16">
        <v>0.000267</v>
      </c>
    </row>
    <row r="17" spans="1:2" ht="12.75">
      <c r="A17" s="12" t="s">
        <v>98</v>
      </c>
      <c r="B17">
        <v>0.000255</v>
      </c>
    </row>
    <row r="18" spans="1:2" ht="12.75">
      <c r="A18" s="12" t="s">
        <v>10</v>
      </c>
      <c r="B18">
        <v>0.001649</v>
      </c>
    </row>
  </sheetData>
  <sheetProtection/>
  <mergeCells count="5">
    <mergeCell ref="Z1:AF1"/>
    <mergeCell ref="B1:E1"/>
    <mergeCell ref="F1:I1"/>
    <mergeCell ref="J1:L1"/>
    <mergeCell ref="M1:S1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9">
      <selection activeCell="A40" sqref="A40"/>
    </sheetView>
  </sheetViews>
  <sheetFormatPr defaultColWidth="11.421875" defaultRowHeight="12.75"/>
  <cols>
    <col min="1" max="1" width="37.28125" style="10" customWidth="1"/>
    <col min="2" max="2" width="14.140625" style="0" customWidth="1"/>
  </cols>
  <sheetData>
    <row r="1" spans="1:2" ht="12.75">
      <c r="A1" s="10" t="s">
        <v>27</v>
      </c>
      <c r="B1" t="s">
        <v>29</v>
      </c>
    </row>
    <row r="2" spans="1:3" ht="25.5">
      <c r="A2" s="10" t="s">
        <v>28</v>
      </c>
      <c r="B2" s="3">
        <v>0.1</v>
      </c>
      <c r="C2" t="s">
        <v>31</v>
      </c>
    </row>
    <row r="3" spans="1:3" ht="25.5">
      <c r="A3" s="10" t="s">
        <v>30</v>
      </c>
      <c r="B3" s="3">
        <v>0.15</v>
      </c>
      <c r="C3" t="s">
        <v>32</v>
      </c>
    </row>
    <row r="4" spans="1:3" ht="12.75">
      <c r="A4" s="10" t="s">
        <v>43</v>
      </c>
      <c r="B4" s="3">
        <v>0.05</v>
      </c>
      <c r="C4" t="s">
        <v>44</v>
      </c>
    </row>
    <row r="5" spans="1:3" ht="25.5">
      <c r="A5" s="11" t="s">
        <v>69</v>
      </c>
      <c r="B5" s="3">
        <v>0.7</v>
      </c>
      <c r="C5" s="12" t="s">
        <v>70</v>
      </c>
    </row>
    <row r="6" spans="1:3" ht="12.75">
      <c r="A6" s="10" t="s">
        <v>45</v>
      </c>
      <c r="B6" s="3">
        <v>0.1</v>
      </c>
      <c r="C6" t="s">
        <v>44</v>
      </c>
    </row>
    <row r="7" spans="1:2" ht="12.75">
      <c r="A7" s="10" t="s">
        <v>46</v>
      </c>
      <c r="B7" s="3">
        <v>0.05</v>
      </c>
    </row>
    <row r="8" spans="1:3" ht="12.75">
      <c r="A8" s="10" t="s">
        <v>47</v>
      </c>
      <c r="B8" s="3">
        <v>0.6</v>
      </c>
      <c r="C8" t="s">
        <v>73</v>
      </c>
    </row>
    <row r="9" spans="1:3" ht="25.5">
      <c r="A9" s="10" t="s">
        <v>48</v>
      </c>
      <c r="B9" s="3">
        <v>0.9</v>
      </c>
      <c r="C9" t="s">
        <v>74</v>
      </c>
    </row>
    <row r="10" spans="1:3" ht="25.5">
      <c r="A10" s="11" t="s">
        <v>75</v>
      </c>
      <c r="B10" s="3">
        <v>1</v>
      </c>
      <c r="C10" s="12" t="s">
        <v>49</v>
      </c>
    </row>
    <row r="11" spans="1:3" ht="25.5">
      <c r="A11" s="11" t="s">
        <v>76</v>
      </c>
      <c r="B11" s="3">
        <v>0.03</v>
      </c>
      <c r="C11" s="12"/>
    </row>
    <row r="12" spans="1:3" ht="12.75">
      <c r="A12" s="11" t="s">
        <v>50</v>
      </c>
      <c r="B12" s="3">
        <v>0.5</v>
      </c>
      <c r="C12" s="12" t="s">
        <v>52</v>
      </c>
    </row>
    <row r="13" spans="1:2" ht="12.75">
      <c r="A13" s="11" t="s">
        <v>51</v>
      </c>
      <c r="B13" s="3">
        <v>0.1</v>
      </c>
    </row>
    <row r="14" spans="1:2" ht="25.5">
      <c r="A14" s="11" t="s">
        <v>53</v>
      </c>
      <c r="B14" s="3">
        <v>0.1</v>
      </c>
    </row>
    <row r="15" spans="1:3" ht="25.5">
      <c r="A15" s="11" t="s">
        <v>54</v>
      </c>
      <c r="B15" s="3">
        <v>0.2</v>
      </c>
      <c r="C15" s="12"/>
    </row>
    <row r="16" spans="1:3" ht="12.75">
      <c r="A16" s="11" t="s">
        <v>56</v>
      </c>
      <c r="B16" s="3">
        <v>0.7</v>
      </c>
      <c r="C16" s="12" t="s">
        <v>55</v>
      </c>
    </row>
    <row r="17" spans="1:2" ht="25.5">
      <c r="A17" s="11" t="s">
        <v>57</v>
      </c>
      <c r="B17" s="3">
        <v>0.1</v>
      </c>
    </row>
    <row r="18" spans="1:2" ht="25.5">
      <c r="A18" s="11" t="s">
        <v>58</v>
      </c>
      <c r="B18" s="3">
        <v>0.3</v>
      </c>
    </row>
    <row r="19" spans="1:2" ht="25.5">
      <c r="A19" s="11" t="s">
        <v>112</v>
      </c>
      <c r="B19" s="20">
        <f>65/267</f>
        <v>0.24344569288389514</v>
      </c>
    </row>
    <row r="20" spans="1:3" ht="25.5">
      <c r="A20" s="11" t="s">
        <v>59</v>
      </c>
      <c r="B20" s="3">
        <v>0.15</v>
      </c>
      <c r="C20" s="12" t="s">
        <v>60</v>
      </c>
    </row>
    <row r="21" spans="1:3" ht="25.5">
      <c r="A21" s="11" t="s">
        <v>61</v>
      </c>
      <c r="B21" s="3">
        <v>1</v>
      </c>
      <c r="C21" s="12" t="s">
        <v>62</v>
      </c>
    </row>
    <row r="22" spans="1:3" ht="25.5">
      <c r="A22" s="11" t="s">
        <v>63</v>
      </c>
      <c r="B22" s="3">
        <v>0.15</v>
      </c>
      <c r="C22" s="12" t="s">
        <v>62</v>
      </c>
    </row>
    <row r="23" spans="1:3" ht="25.5">
      <c r="A23" s="11" t="s">
        <v>72</v>
      </c>
      <c r="B23" s="3">
        <v>0.05</v>
      </c>
      <c r="C23" s="12" t="s">
        <v>62</v>
      </c>
    </row>
    <row r="24" spans="1:3" ht="25.5">
      <c r="A24" s="11" t="s">
        <v>64</v>
      </c>
      <c r="B24" s="3">
        <v>0.15</v>
      </c>
      <c r="C24" s="12" t="s">
        <v>62</v>
      </c>
    </row>
    <row r="25" spans="1:2" ht="12.75">
      <c r="A25" s="11" t="s">
        <v>65</v>
      </c>
      <c r="B25" s="3">
        <v>0.05</v>
      </c>
    </row>
    <row r="26" spans="1:3" ht="12.75">
      <c r="A26" s="11" t="s">
        <v>87</v>
      </c>
      <c r="B26" s="3">
        <v>0.2</v>
      </c>
      <c r="C26" s="12" t="s">
        <v>88</v>
      </c>
    </row>
    <row r="27" spans="1:2" ht="25.5">
      <c r="A27" s="11" t="s">
        <v>66</v>
      </c>
      <c r="B27" s="3">
        <v>0.1</v>
      </c>
    </row>
    <row r="28" spans="1:3" ht="25.5">
      <c r="A28" s="11" t="s">
        <v>67</v>
      </c>
      <c r="B28" s="3">
        <v>0.15</v>
      </c>
      <c r="C28" s="12" t="s">
        <v>68</v>
      </c>
    </row>
    <row r="29" spans="1:3" ht="25.5">
      <c r="A29" s="11" t="s">
        <v>71</v>
      </c>
      <c r="B29" s="3">
        <v>0.4</v>
      </c>
      <c r="C29" s="12" t="s">
        <v>68</v>
      </c>
    </row>
    <row r="30" spans="1:3" ht="25.5">
      <c r="A30" s="10" t="s">
        <v>77</v>
      </c>
      <c r="B30" s="3">
        <v>1</v>
      </c>
      <c r="C30" s="12" t="s">
        <v>78</v>
      </c>
    </row>
    <row r="31" spans="1:3" ht="25.5">
      <c r="A31" s="10" t="s">
        <v>79</v>
      </c>
      <c r="B31" s="3">
        <v>0.3</v>
      </c>
      <c r="C31" s="12" t="s">
        <v>80</v>
      </c>
    </row>
    <row r="32" spans="1:3" ht="25.5">
      <c r="A32" s="10" t="s">
        <v>81</v>
      </c>
      <c r="B32" s="3">
        <v>0.8</v>
      </c>
      <c r="C32" s="12" t="s">
        <v>82</v>
      </c>
    </row>
    <row r="33" spans="1:3" ht="25.5">
      <c r="A33" s="10" t="s">
        <v>83</v>
      </c>
      <c r="B33" s="3">
        <v>0.75</v>
      </c>
      <c r="C33" s="12" t="s">
        <v>84</v>
      </c>
    </row>
    <row r="34" spans="1:3" ht="25.5">
      <c r="A34" s="11" t="s">
        <v>85</v>
      </c>
      <c r="B34" s="3">
        <v>0.75</v>
      </c>
      <c r="C34" s="12" t="s">
        <v>84</v>
      </c>
    </row>
    <row r="35" spans="1:3" ht="25.5">
      <c r="A35" s="11" t="s">
        <v>86</v>
      </c>
      <c r="B35" s="3">
        <v>0.5</v>
      </c>
      <c r="C35" s="12" t="s">
        <v>84</v>
      </c>
    </row>
    <row r="36" spans="1:2" ht="25.5">
      <c r="A36" s="11" t="s">
        <v>99</v>
      </c>
      <c r="B36" s="3">
        <v>0.1</v>
      </c>
    </row>
    <row r="37" spans="1:2" ht="12.75">
      <c r="A37" s="11" t="s">
        <v>89</v>
      </c>
      <c r="B37" s="3">
        <v>0.05</v>
      </c>
    </row>
    <row r="38" spans="1:3" ht="25.5">
      <c r="A38" s="11" t="s">
        <v>90</v>
      </c>
      <c r="B38" s="3">
        <v>0.1</v>
      </c>
      <c r="C38" s="12" t="s">
        <v>88</v>
      </c>
    </row>
    <row r="39" spans="1:2" ht="25.5">
      <c r="A39" s="11" t="s">
        <v>138</v>
      </c>
      <c r="B39" s="3">
        <v>1</v>
      </c>
    </row>
    <row r="40" spans="1:2" ht="25.5">
      <c r="A40" s="11" t="s">
        <v>91</v>
      </c>
      <c r="B40" s="20">
        <v>0.6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Diba</dc:creator>
  <cp:keywords/>
  <dc:description/>
  <cp:lastModifiedBy>collge</cp:lastModifiedBy>
  <dcterms:created xsi:type="dcterms:W3CDTF">2019-11-25T11:21:46Z</dcterms:created>
  <dcterms:modified xsi:type="dcterms:W3CDTF">2019-11-27T11:39:43Z</dcterms:modified>
  <cp:category/>
  <cp:version/>
  <cp:contentType/>
  <cp:contentStatus/>
</cp:coreProperties>
</file>