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lockStructure="1"/>
  <bookViews>
    <workbookView xWindow="0" yWindow="0" windowWidth="28800" windowHeight="11835"/>
  </bookViews>
  <sheets>
    <sheet name="Introducció" sheetId="4" r:id="rId1"/>
    <sheet name="Informació" sheetId="1" r:id="rId2"/>
    <sheet name="Resultats" sheetId="3" r:id="rId3"/>
    <sheet name="Conclusió" sheetId="7" r:id="rId4"/>
    <sheet name="Context Ambiental" sheetId="6" r:id="rId5"/>
    <sheet name="Base de dades Municipis" sheetId="5" r:id="rId6"/>
  </sheets>
  <definedNames>
    <definedName name="_xlnm._FilterDatabase" localSheetId="5" hidden="1">'Base de dades Municipis'!$A$1:$W$717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7" l="1"/>
  <c r="D6" i="1" l="1"/>
  <c r="G420" i="5" l="1"/>
  <c r="G423" i="5"/>
  <c r="G424" i="5"/>
  <c r="G425" i="5"/>
  <c r="G427" i="5"/>
  <c r="G435" i="5"/>
  <c r="G128" i="5"/>
  <c r="G129" i="5"/>
  <c r="G114" i="5"/>
  <c r="G160" i="5"/>
  <c r="G596" i="5"/>
  <c r="G171" i="5"/>
  <c r="G174" i="5"/>
  <c r="G175" i="5"/>
  <c r="G178" i="5"/>
  <c r="G182" i="5"/>
  <c r="G183" i="5"/>
  <c r="G187" i="5"/>
  <c r="G717" i="5"/>
  <c r="G192" i="5"/>
  <c r="G196" i="5"/>
  <c r="D12" i="7" l="1"/>
  <c r="D19" i="7"/>
  <c r="D23" i="7"/>
  <c r="D24" i="7"/>
  <c r="D22" i="7"/>
  <c r="D16" i="7"/>
  <c r="D17" i="7"/>
  <c r="D18" i="7"/>
  <c r="D15" i="7"/>
  <c r="D9" i="7"/>
  <c r="D10" i="7"/>
  <c r="D11" i="7"/>
  <c r="D8" i="7"/>
  <c r="C23" i="7" l="1"/>
  <c r="C24" i="7"/>
  <c r="C22" i="7"/>
  <c r="C16" i="7"/>
  <c r="C17" i="7"/>
  <c r="C18" i="7"/>
  <c r="C15" i="7"/>
  <c r="C9" i="7"/>
  <c r="C10" i="7"/>
  <c r="C11" i="7"/>
  <c r="C5" i="6" l="1"/>
  <c r="C7" i="6" s="1"/>
  <c r="C4" i="6"/>
  <c r="F27" i="3" a="1"/>
  <c r="F27" i="3" s="1"/>
  <c r="F22" i="3" a="1"/>
  <c r="F22" i="3" s="1"/>
  <c r="S20" i="3" a="1"/>
  <c r="S20" i="3" s="1"/>
  <c r="T20" i="3" a="1"/>
  <c r="T20" i="3" s="1"/>
  <c r="R19" i="3" a="1"/>
  <c r="R19" i="3" s="1"/>
  <c r="S19" i="3" a="1"/>
  <c r="S19" i="3" s="1"/>
  <c r="C6" i="6" l="1"/>
  <c r="C8" i="6"/>
  <c r="D12" i="1" l="1"/>
  <c r="C10" i="6" s="1"/>
  <c r="D13" i="1" l="1"/>
  <c r="C9" i="6"/>
  <c r="P39" i="1"/>
  <c r="P22" i="1"/>
  <c r="D7" i="1"/>
  <c r="G53" i="3"/>
  <c r="G52" i="3"/>
  <c r="G51" i="3"/>
  <c r="G50" i="3"/>
  <c r="G49" i="3"/>
  <c r="G48" i="3"/>
  <c r="G47" i="3"/>
  <c r="G46" i="3"/>
  <c r="G45" i="3"/>
  <c r="G44" i="3"/>
  <c r="G40" i="3"/>
  <c r="G39" i="3"/>
  <c r="G38" i="3"/>
  <c r="G37" i="3"/>
  <c r="G36" i="3"/>
  <c r="G35" i="3"/>
  <c r="G34" i="3"/>
  <c r="G33" i="3"/>
  <c r="G32" i="3"/>
  <c r="G31" i="3"/>
  <c r="G27" i="3"/>
  <c r="G26" i="3"/>
  <c r="G25" i="3"/>
  <c r="G24" i="3"/>
  <c r="G23" i="3"/>
  <c r="G22" i="3"/>
  <c r="G21" i="3"/>
  <c r="G20" i="3"/>
  <c r="G19" i="3"/>
  <c r="G18" i="3"/>
  <c r="G14" i="3"/>
  <c r="G13" i="3"/>
  <c r="G12" i="3"/>
  <c r="G11" i="3"/>
  <c r="G10" i="3"/>
  <c r="G9" i="3"/>
  <c r="G8" i="3"/>
  <c r="G7" i="3"/>
  <c r="G6" i="3"/>
  <c r="G5" i="3"/>
  <c r="G6" i="5"/>
  <c r="G9" i="5"/>
  <c r="G10" i="5"/>
  <c r="G12" i="5"/>
  <c r="G13" i="5"/>
  <c r="G14" i="5"/>
  <c r="G15" i="5"/>
  <c r="G16" i="5"/>
  <c r="G18" i="5"/>
  <c r="G19" i="5"/>
  <c r="G20" i="5"/>
  <c r="G21" i="5"/>
  <c r="G24" i="5"/>
  <c r="G26" i="5"/>
  <c r="G28" i="5"/>
  <c r="G29" i="5"/>
  <c r="G31" i="5"/>
  <c r="G32" i="5"/>
  <c r="G38" i="5"/>
  <c r="G41" i="5"/>
  <c r="G43" i="5"/>
  <c r="G53" i="5"/>
  <c r="G55" i="5"/>
  <c r="G59" i="5"/>
  <c r="G63" i="5"/>
  <c r="G65" i="5"/>
  <c r="G66" i="5"/>
  <c r="G67" i="5"/>
  <c r="G73" i="5"/>
  <c r="G74" i="5"/>
  <c r="G77" i="5"/>
  <c r="G81" i="5"/>
  <c r="G83" i="5"/>
  <c r="G86" i="5"/>
  <c r="G87" i="5"/>
  <c r="G88" i="5"/>
  <c r="G93" i="5"/>
  <c r="G97" i="5"/>
  <c r="G103" i="5"/>
  <c r="G113" i="5"/>
  <c r="G123" i="5"/>
  <c r="G136" i="5"/>
  <c r="G157" i="5"/>
  <c r="G190" i="5"/>
  <c r="G203" i="5"/>
  <c r="G205" i="5"/>
  <c r="G206" i="5"/>
  <c r="G209" i="5"/>
  <c r="G211" i="5"/>
  <c r="G213" i="5"/>
  <c r="G224" i="5"/>
  <c r="G228" i="5"/>
  <c r="G230" i="5"/>
  <c r="G232" i="5"/>
  <c r="G233" i="5"/>
  <c r="G234" i="5"/>
  <c r="G242" i="5"/>
  <c r="G246" i="5"/>
  <c r="G251" i="5"/>
  <c r="G255" i="5"/>
  <c r="G258" i="5"/>
  <c r="G280" i="5"/>
  <c r="G281" i="5"/>
  <c r="G282" i="5"/>
  <c r="G294" i="5"/>
  <c r="G295" i="5"/>
  <c r="G299" i="5"/>
  <c r="G301" i="5"/>
  <c r="G304" i="5"/>
  <c r="G306" i="5"/>
  <c r="G307" i="5"/>
  <c r="G309" i="5"/>
  <c r="G316" i="5"/>
  <c r="G317" i="5"/>
  <c r="G319" i="5"/>
  <c r="G327" i="5"/>
  <c r="G328" i="5"/>
  <c r="G332" i="5"/>
  <c r="G336" i="5"/>
  <c r="G339" i="5"/>
  <c r="G341" i="5"/>
  <c r="G343" i="5"/>
  <c r="G344" i="5"/>
  <c r="G345" i="5"/>
  <c r="G346" i="5"/>
  <c r="G353" i="5"/>
  <c r="G354" i="5"/>
  <c r="G378" i="5"/>
  <c r="G381" i="5"/>
  <c r="G388" i="5"/>
  <c r="G390" i="5"/>
  <c r="G394" i="5"/>
  <c r="G396" i="5"/>
  <c r="G398" i="5"/>
  <c r="G400" i="5"/>
  <c r="G401" i="5"/>
  <c r="G402" i="5"/>
  <c r="G408" i="5"/>
  <c r="G409" i="5"/>
  <c r="G410" i="5"/>
  <c r="G411" i="5"/>
  <c r="G413" i="5"/>
  <c r="G416" i="5"/>
  <c r="G441" i="5"/>
  <c r="G444" i="5"/>
  <c r="G447" i="5"/>
  <c r="G448" i="5"/>
  <c r="G449" i="5"/>
  <c r="G450" i="5"/>
  <c r="G453" i="5"/>
  <c r="G458" i="5"/>
  <c r="G459" i="5"/>
  <c r="G461" i="5"/>
  <c r="G464" i="5"/>
  <c r="G465" i="5"/>
  <c r="G467" i="5"/>
  <c r="G468" i="5"/>
  <c r="G470" i="5"/>
  <c r="G480" i="5"/>
  <c r="G481" i="5"/>
  <c r="G493" i="5"/>
  <c r="G517" i="5"/>
  <c r="G518" i="5"/>
  <c r="G563" i="5"/>
  <c r="G568" i="5"/>
  <c r="G583" i="5"/>
  <c r="G588" i="5"/>
  <c r="G591" i="5"/>
  <c r="G592" i="5"/>
  <c r="G594" i="5"/>
  <c r="G595" i="5"/>
  <c r="G606" i="5"/>
  <c r="G615" i="5"/>
  <c r="G622" i="5"/>
  <c r="G623" i="5"/>
  <c r="G628" i="5"/>
  <c r="G629" i="5"/>
  <c r="G630" i="5"/>
  <c r="G637" i="5"/>
  <c r="G639" i="5"/>
  <c r="G645" i="5"/>
  <c r="G646" i="5"/>
  <c r="G655" i="5"/>
  <c r="G657" i="5"/>
  <c r="G661" i="5"/>
  <c r="G663" i="5"/>
  <c r="G664" i="5"/>
  <c r="G666" i="5"/>
  <c r="G669" i="5"/>
  <c r="G673" i="5"/>
  <c r="G686" i="5"/>
  <c r="G689" i="5"/>
  <c r="G694" i="5"/>
  <c r="G698" i="5"/>
  <c r="G700" i="5"/>
  <c r="G701" i="5"/>
  <c r="G703" i="5"/>
  <c r="G707" i="5"/>
  <c r="G708" i="5"/>
  <c r="G709" i="5"/>
  <c r="G713" i="5"/>
  <c r="G714" i="5"/>
  <c r="G715" i="5"/>
  <c r="F24" i="3" l="1" a="1"/>
  <c r="F24" i="3" s="1"/>
  <c r="F19" i="3" a="1"/>
  <c r="F19" i="3" s="1"/>
  <c r="F9" i="3"/>
  <c r="D9" i="3"/>
  <c r="D6" i="3"/>
  <c r="F14" i="3"/>
  <c r="F40" i="3"/>
  <c r="F35" i="3"/>
  <c r="F37" i="3"/>
  <c r="F32" i="3"/>
  <c r="F6" i="3"/>
  <c r="F11" i="3"/>
  <c r="G4" i="5"/>
  <c r="G7" i="5"/>
  <c r="G8" i="5"/>
  <c r="G11" i="5"/>
  <c r="G22" i="5"/>
  <c r="G25" i="5"/>
  <c r="G30" i="5"/>
  <c r="G33" i="5"/>
  <c r="G36" i="5"/>
  <c r="G40" i="5"/>
  <c r="G46" i="5"/>
  <c r="G54" i="5"/>
  <c r="G58" i="5"/>
  <c r="G61" i="5"/>
  <c r="G62" i="5"/>
  <c r="G69" i="5"/>
  <c r="G70" i="5"/>
  <c r="G71" i="5"/>
  <c r="G75" i="5"/>
  <c r="G76" i="5"/>
  <c r="G78" i="5"/>
  <c r="G79" i="5"/>
  <c r="G80" i="5"/>
  <c r="G82" i="5"/>
  <c r="G84" i="5"/>
  <c r="G89" i="5"/>
  <c r="G92" i="5"/>
  <c r="G94" i="5"/>
  <c r="G95" i="5"/>
  <c r="G101" i="5"/>
  <c r="G105" i="5"/>
  <c r="G112" i="5"/>
  <c r="G115" i="5"/>
  <c r="G116" i="5"/>
  <c r="G117" i="5"/>
  <c r="G119" i="5"/>
  <c r="G120" i="5"/>
  <c r="G121" i="5"/>
  <c r="G126" i="5"/>
  <c r="G131" i="5"/>
  <c r="G137" i="5"/>
  <c r="G148" i="5"/>
  <c r="G153" i="5"/>
  <c r="G155" i="5"/>
  <c r="G161" i="5"/>
  <c r="G162" i="5"/>
  <c r="G167" i="5"/>
  <c r="G168" i="5"/>
  <c r="G169" i="5"/>
  <c r="G173" i="5"/>
  <c r="G179" i="5"/>
  <c r="G181" i="5"/>
  <c r="G184" i="5"/>
  <c r="G185" i="5"/>
  <c r="G188" i="5"/>
  <c r="G189" i="5"/>
  <c r="G193" i="5"/>
  <c r="G195" i="5"/>
  <c r="G198" i="5"/>
  <c r="G199" i="5"/>
  <c r="G204" i="5"/>
  <c r="G210" i="5"/>
  <c r="G212" i="5"/>
  <c r="G216" i="5"/>
  <c r="G219" i="5"/>
  <c r="G220" i="5"/>
  <c r="G221" i="5"/>
  <c r="G223" i="5"/>
  <c r="G225" i="5"/>
  <c r="G226" i="5"/>
  <c r="G236" i="5"/>
  <c r="G237" i="5"/>
  <c r="G238" i="5"/>
  <c r="G241" i="5"/>
  <c r="G243" i="5"/>
  <c r="G247" i="5"/>
  <c r="G253" i="5"/>
  <c r="G256" i="5"/>
  <c r="G261" i="5"/>
  <c r="G263" i="5"/>
  <c r="G264" i="5"/>
  <c r="G265" i="5"/>
  <c r="G267" i="5"/>
  <c r="G269" i="5"/>
  <c r="G271" i="5"/>
  <c r="G272" i="5"/>
  <c r="G273" i="5"/>
  <c r="G274" i="5"/>
  <c r="G275" i="5"/>
  <c r="G279" i="5"/>
  <c r="G283" i="5"/>
  <c r="G284" i="5"/>
  <c r="G286" i="5"/>
  <c r="G287" i="5"/>
  <c r="G288" i="5"/>
  <c r="G289" i="5"/>
  <c r="G300" i="5"/>
  <c r="G310" i="5"/>
  <c r="G314" i="5"/>
  <c r="G315" i="5"/>
  <c r="G321" i="5"/>
  <c r="G323" i="5"/>
  <c r="G326" i="5"/>
  <c r="G340" i="5"/>
  <c r="G351" i="5"/>
  <c r="G356" i="5"/>
  <c r="G362" i="5"/>
  <c r="G364" i="5"/>
  <c r="G369" i="5"/>
  <c r="G372" i="5"/>
  <c r="G373" i="5"/>
  <c r="G374" i="5"/>
  <c r="G375" i="5"/>
  <c r="G376" i="5"/>
  <c r="G382" i="5"/>
  <c r="G383" i="5"/>
  <c r="G385" i="5"/>
  <c r="G387" i="5"/>
  <c r="G389" i="5"/>
  <c r="G391" i="5"/>
  <c r="G392" i="5"/>
  <c r="G395" i="5"/>
  <c r="G404" i="5"/>
  <c r="G405" i="5"/>
  <c r="G414" i="5"/>
  <c r="G418" i="5"/>
  <c r="G419" i="5"/>
  <c r="G421" i="5"/>
  <c r="G422" i="5"/>
  <c r="G432" i="5"/>
  <c r="G433" i="5"/>
  <c r="G439" i="5"/>
  <c r="G440" i="5"/>
  <c r="G442" i="5"/>
  <c r="G445" i="5"/>
  <c r="G451" i="5"/>
  <c r="G452" i="5"/>
  <c r="G454" i="5"/>
  <c r="G456" i="5"/>
  <c r="G457" i="5"/>
  <c r="G460" i="5"/>
  <c r="G462" i="5"/>
  <c r="G469" i="5"/>
  <c r="G473" i="5"/>
  <c r="G478" i="5"/>
  <c r="G482" i="5"/>
  <c r="G487" i="5"/>
  <c r="G488" i="5"/>
  <c r="G497" i="5"/>
  <c r="G502" i="5"/>
  <c r="G504" i="5"/>
  <c r="G506" i="5"/>
  <c r="G508" i="5"/>
  <c r="G511" i="5"/>
  <c r="G512" i="5"/>
  <c r="G516" i="5"/>
  <c r="G519" i="5"/>
  <c r="G520" i="5"/>
  <c r="G523" i="5"/>
  <c r="G524" i="5"/>
  <c r="G526" i="5"/>
  <c r="G528" i="5"/>
  <c r="G530" i="5"/>
  <c r="G535" i="5"/>
  <c r="G539" i="5"/>
  <c r="G541" i="5"/>
  <c r="G542" i="5"/>
  <c r="G543" i="5"/>
  <c r="G544" i="5"/>
  <c r="G549" i="5"/>
  <c r="G566" i="5"/>
  <c r="G569" i="5"/>
  <c r="G574" i="5"/>
  <c r="G584" i="5"/>
  <c r="G589" i="5"/>
  <c r="G590" i="5"/>
  <c r="G593" i="5"/>
  <c r="G598" i="5"/>
  <c r="G599" i="5"/>
  <c r="G600" i="5"/>
  <c r="G602" i="5"/>
  <c r="G604" i="5"/>
  <c r="G610" i="5"/>
  <c r="G613" i="5"/>
  <c r="G619" i="5"/>
  <c r="G634" i="5"/>
  <c r="G635" i="5"/>
  <c r="G636" i="5"/>
  <c r="G638" i="5"/>
  <c r="G640" i="5"/>
  <c r="G641" i="5"/>
  <c r="G642" i="5"/>
  <c r="G644" i="5"/>
  <c r="G647" i="5"/>
  <c r="G648" i="5"/>
  <c r="G650" i="5"/>
  <c r="G651" i="5"/>
  <c r="G652" i="5"/>
  <c r="G656" i="5"/>
  <c r="G660" i="5"/>
  <c r="G667" i="5"/>
  <c r="G668" i="5"/>
  <c r="G671" i="5"/>
  <c r="G672" i="5"/>
  <c r="G674" i="5"/>
  <c r="G675" i="5"/>
  <c r="G677" i="5"/>
  <c r="G678" i="5"/>
  <c r="G681" i="5"/>
  <c r="G682" i="5"/>
  <c r="G683" i="5"/>
  <c r="G685" i="5"/>
  <c r="G688" i="5"/>
  <c r="G690" i="5"/>
  <c r="G691" i="5"/>
  <c r="G692" i="5"/>
  <c r="G693" i="5"/>
  <c r="G702" i="5"/>
  <c r="G706" i="5"/>
  <c r="G711" i="5"/>
  <c r="G712" i="5"/>
  <c r="G3" i="5" l="1"/>
  <c r="G5" i="5"/>
  <c r="G17" i="5"/>
  <c r="G23" i="5"/>
  <c r="G27" i="5"/>
  <c r="G34" i="5"/>
  <c r="G35" i="5"/>
  <c r="G37" i="5"/>
  <c r="G39" i="5"/>
  <c r="G42" i="5"/>
  <c r="G44" i="5"/>
  <c r="G45" i="5"/>
  <c r="G47" i="5"/>
  <c r="G48" i="5"/>
  <c r="G49" i="5"/>
  <c r="G50" i="5"/>
  <c r="G51" i="5"/>
  <c r="G52" i="5"/>
  <c r="G56" i="5"/>
  <c r="G57" i="5"/>
  <c r="G60" i="5"/>
  <c r="G64" i="5"/>
  <c r="G68" i="5"/>
  <c r="G72" i="5"/>
  <c r="G85" i="5"/>
  <c r="G90" i="5"/>
  <c r="G91" i="5"/>
  <c r="G96" i="5"/>
  <c r="G98" i="5"/>
  <c r="G99" i="5"/>
  <c r="G100" i="5"/>
  <c r="G102" i="5"/>
  <c r="G104" i="5"/>
  <c r="G106" i="5"/>
  <c r="G107" i="5"/>
  <c r="G108" i="5"/>
  <c r="G109" i="5"/>
  <c r="G110" i="5"/>
  <c r="G111" i="5"/>
  <c r="G118" i="5"/>
  <c r="G122" i="5"/>
  <c r="G124" i="5"/>
  <c r="G125" i="5"/>
  <c r="G127" i="5"/>
  <c r="G130" i="5"/>
  <c r="G132" i="5"/>
  <c r="G133" i="5"/>
  <c r="G134" i="5"/>
  <c r="G135" i="5"/>
  <c r="G138" i="5"/>
  <c r="G139" i="5"/>
  <c r="G140" i="5"/>
  <c r="G141" i="5"/>
  <c r="G142" i="5"/>
  <c r="G143" i="5"/>
  <c r="G144" i="5"/>
  <c r="G145" i="5"/>
  <c r="G146" i="5"/>
  <c r="G147" i="5"/>
  <c r="G149" i="5"/>
  <c r="G150" i="5"/>
  <c r="G151" i="5"/>
  <c r="G152" i="5"/>
  <c r="G154" i="5"/>
  <c r="G156" i="5"/>
  <c r="G158" i="5"/>
  <c r="G159" i="5"/>
  <c r="G163" i="5"/>
  <c r="G164" i="5"/>
  <c r="G165" i="5"/>
  <c r="G166" i="5"/>
  <c r="G170" i="5"/>
  <c r="G172" i="5"/>
  <c r="G176" i="5"/>
  <c r="G177" i="5"/>
  <c r="G180" i="5"/>
  <c r="G186" i="5"/>
  <c r="G191" i="5"/>
  <c r="G194" i="5"/>
  <c r="G197" i="5"/>
  <c r="G200" i="5"/>
  <c r="G201" i="5"/>
  <c r="G202" i="5"/>
  <c r="G207" i="5"/>
  <c r="G208" i="5"/>
  <c r="G214" i="5"/>
  <c r="G215" i="5"/>
  <c r="G217" i="5"/>
  <c r="G218" i="5"/>
  <c r="G222" i="5"/>
  <c r="G227" i="5"/>
  <c r="G229" i="5"/>
  <c r="G231" i="5"/>
  <c r="G235" i="5"/>
  <c r="G239" i="5"/>
  <c r="G240" i="5"/>
  <c r="G244" i="5"/>
  <c r="G245" i="5"/>
  <c r="G248" i="5"/>
  <c r="G249" i="5"/>
  <c r="G250" i="5"/>
  <c r="G252" i="5"/>
  <c r="G254" i="5"/>
  <c r="G257" i="5"/>
  <c r="G259" i="5"/>
  <c r="G260" i="5"/>
  <c r="G262" i="5"/>
  <c r="G266" i="5"/>
  <c r="G268" i="5"/>
  <c r="G270" i="5"/>
  <c r="G276" i="5"/>
  <c r="G277" i="5"/>
  <c r="G278" i="5"/>
  <c r="G285" i="5"/>
  <c r="G290" i="5"/>
  <c r="G291" i="5"/>
  <c r="G292" i="5"/>
  <c r="G293" i="5"/>
  <c r="G296" i="5"/>
  <c r="G297" i="5"/>
  <c r="G298" i="5"/>
  <c r="G302" i="5"/>
  <c r="G303" i="5"/>
  <c r="G305" i="5"/>
  <c r="G308" i="5"/>
  <c r="G311" i="5"/>
  <c r="G312" i="5"/>
  <c r="G313" i="5"/>
  <c r="G318" i="5"/>
  <c r="G320" i="5"/>
  <c r="G322" i="5"/>
  <c r="G324" i="5"/>
  <c r="G325" i="5"/>
  <c r="G329" i="5"/>
  <c r="G330" i="5"/>
  <c r="G331" i="5"/>
  <c r="G333" i="5"/>
  <c r="G334" i="5"/>
  <c r="G335" i="5"/>
  <c r="G337" i="5"/>
  <c r="G338" i="5"/>
  <c r="G342" i="5"/>
  <c r="G347" i="5"/>
  <c r="G348" i="5"/>
  <c r="G349" i="5"/>
  <c r="G350" i="5"/>
  <c r="G352" i="5"/>
  <c r="G355" i="5"/>
  <c r="G357" i="5"/>
  <c r="G358" i="5"/>
  <c r="G359" i="5"/>
  <c r="G360" i="5"/>
  <c r="G361" i="5"/>
  <c r="G363" i="5"/>
  <c r="G365" i="5"/>
  <c r="G366" i="5"/>
  <c r="G367" i="5"/>
  <c r="G368" i="5"/>
  <c r="G370" i="5"/>
  <c r="G371" i="5"/>
  <c r="G377" i="5"/>
  <c r="G379" i="5"/>
  <c r="G380" i="5"/>
  <c r="G384" i="5"/>
  <c r="G386" i="5"/>
  <c r="G393" i="5"/>
  <c r="G397" i="5"/>
  <c r="G399" i="5"/>
  <c r="G403" i="5"/>
  <c r="G406" i="5"/>
  <c r="G407" i="5"/>
  <c r="G412" i="5"/>
  <c r="G415" i="5"/>
  <c r="G417" i="5"/>
  <c r="G426" i="5"/>
  <c r="G428" i="5"/>
  <c r="G429" i="5"/>
  <c r="G430" i="5"/>
  <c r="G431" i="5"/>
  <c r="G434" i="5"/>
  <c r="G436" i="5"/>
  <c r="G437" i="5"/>
  <c r="G438" i="5"/>
  <c r="G443" i="5"/>
  <c r="G446" i="5"/>
  <c r="G455" i="5"/>
  <c r="G463" i="5"/>
  <c r="G466" i="5"/>
  <c r="G471" i="5"/>
  <c r="G472" i="5"/>
  <c r="G474" i="5"/>
  <c r="G475" i="5"/>
  <c r="G476" i="5"/>
  <c r="G477" i="5"/>
  <c r="G479" i="5"/>
  <c r="G483" i="5"/>
  <c r="G484" i="5"/>
  <c r="G485" i="5"/>
  <c r="G486" i="5"/>
  <c r="G489" i="5"/>
  <c r="G490" i="5"/>
  <c r="G491" i="5"/>
  <c r="G492" i="5"/>
  <c r="G494" i="5"/>
  <c r="G495" i="5"/>
  <c r="G496" i="5"/>
  <c r="G498" i="5"/>
  <c r="G499" i="5"/>
  <c r="G500" i="5"/>
  <c r="G501" i="5"/>
  <c r="G503" i="5"/>
  <c r="G505" i="5"/>
  <c r="G507" i="5"/>
  <c r="G509" i="5"/>
  <c r="G510" i="5"/>
  <c r="G513" i="5"/>
  <c r="G514" i="5"/>
  <c r="G515" i="5"/>
  <c r="G521" i="5"/>
  <c r="G522" i="5"/>
  <c r="G525" i="5"/>
  <c r="G527" i="5"/>
  <c r="G529" i="5"/>
  <c r="G531" i="5"/>
  <c r="G532" i="5"/>
  <c r="G533" i="5"/>
  <c r="G534" i="5"/>
  <c r="G536" i="5"/>
  <c r="G537" i="5"/>
  <c r="G538" i="5"/>
  <c r="G540" i="5"/>
  <c r="G545" i="5"/>
  <c r="G546" i="5"/>
  <c r="G547" i="5"/>
  <c r="G548" i="5"/>
  <c r="G550" i="5"/>
  <c r="G551" i="5"/>
  <c r="G552" i="5"/>
  <c r="G553" i="5"/>
  <c r="G554" i="5"/>
  <c r="G555" i="5"/>
  <c r="G556" i="5"/>
  <c r="G557" i="5"/>
  <c r="G558" i="5"/>
  <c r="G559" i="5"/>
  <c r="G560" i="5"/>
  <c r="G561" i="5"/>
  <c r="G562" i="5"/>
  <c r="G564" i="5"/>
  <c r="G565" i="5"/>
  <c r="G567" i="5"/>
  <c r="G570" i="5"/>
  <c r="G571" i="5"/>
  <c r="G572" i="5"/>
  <c r="G573" i="5"/>
  <c r="G575" i="5"/>
  <c r="G576" i="5"/>
  <c r="G577" i="5"/>
  <c r="G578" i="5"/>
  <c r="G579" i="5"/>
  <c r="G580" i="5"/>
  <c r="G581" i="5"/>
  <c r="G582" i="5"/>
  <c r="G585" i="5"/>
  <c r="G586" i="5"/>
  <c r="G587" i="5"/>
  <c r="G597" i="5"/>
  <c r="G601" i="5"/>
  <c r="G603" i="5"/>
  <c r="G605" i="5"/>
  <c r="G607" i="5"/>
  <c r="G608" i="5"/>
  <c r="G609" i="5"/>
  <c r="G611" i="5"/>
  <c r="G612" i="5"/>
  <c r="G614" i="5"/>
  <c r="G616" i="5"/>
  <c r="G617" i="5"/>
  <c r="G618" i="5"/>
  <c r="G620" i="5"/>
  <c r="G621" i="5"/>
  <c r="G624" i="5"/>
  <c r="G625" i="5"/>
  <c r="G626" i="5"/>
  <c r="G627" i="5"/>
  <c r="G631" i="5"/>
  <c r="G632" i="5"/>
  <c r="G633" i="5"/>
  <c r="G643" i="5"/>
  <c r="G649" i="5"/>
  <c r="G653" i="5"/>
  <c r="G654" i="5"/>
  <c r="G658" i="5"/>
  <c r="G659" i="5"/>
  <c r="G662" i="5"/>
  <c r="G665" i="5"/>
  <c r="G670" i="5"/>
  <c r="G676" i="5"/>
  <c r="G679" i="5"/>
  <c r="G680" i="5"/>
  <c r="G684" i="5"/>
  <c r="G687" i="5"/>
  <c r="G695" i="5"/>
  <c r="G696" i="5"/>
  <c r="G697" i="5"/>
  <c r="G699" i="5"/>
  <c r="G704" i="5"/>
  <c r="G705" i="5"/>
  <c r="G710" i="5"/>
  <c r="G716" i="5"/>
  <c r="G2" i="5"/>
  <c r="D8" i="3" l="1"/>
  <c r="D5" i="3"/>
  <c r="O20" i="3"/>
  <c r="Q20" i="3" a="1"/>
  <c r="Q20" i="3" s="1"/>
  <c r="R20" i="3" a="1"/>
  <c r="R20" i="3" s="1"/>
  <c r="Q19" i="3" a="1"/>
  <c r="Q19" i="3" s="1"/>
  <c r="Q21" i="3" a="1"/>
  <c r="Q21" i="3" s="1"/>
  <c r="O19" i="3"/>
  <c r="R21" i="3" a="1"/>
  <c r="R21" i="3" s="1"/>
  <c r="O21" i="3"/>
  <c r="N22" i="3" a="1"/>
  <c r="N22" i="3" s="1"/>
  <c r="F34" i="3" l="1"/>
  <c r="F39" i="3"/>
  <c r="F36" i="3"/>
  <c r="F31" i="3"/>
  <c r="F45" i="3" l="1"/>
  <c r="F38" i="3"/>
  <c r="F33" i="3"/>
  <c r="N18" i="3" a="1"/>
  <c r="N18" i="3" s="1"/>
  <c r="Q23" i="3"/>
  <c r="L32" i="3" l="1"/>
  <c r="L33" i="3"/>
  <c r="L34" i="3"/>
  <c r="L35" i="3"/>
  <c r="L36" i="3"/>
  <c r="L37" i="3"/>
  <c r="L38" i="3"/>
  <c r="L39" i="3"/>
  <c r="L40" i="3"/>
  <c r="L31" i="3"/>
  <c r="K32" i="3"/>
  <c r="K33" i="3"/>
  <c r="K34" i="3"/>
  <c r="N34" i="3" s="1"/>
  <c r="K35" i="3"/>
  <c r="N35" i="3" s="1"/>
  <c r="K36" i="3"/>
  <c r="K37" i="3"/>
  <c r="K38" i="3"/>
  <c r="K39" i="3"/>
  <c r="K40" i="3"/>
  <c r="K31" i="3"/>
  <c r="N31" i="3" s="1"/>
  <c r="K25" i="3"/>
  <c r="L25" i="3" s="1"/>
  <c r="K24" i="3"/>
  <c r="L24" i="3" s="1"/>
  <c r="K27" i="3"/>
  <c r="L27" i="3" s="1"/>
  <c r="K26" i="3"/>
  <c r="K23" i="3"/>
  <c r="K22" i="3"/>
  <c r="K21" i="3"/>
  <c r="K20" i="3"/>
  <c r="P20" i="3" s="1"/>
  <c r="K19" i="3"/>
  <c r="K18" i="3"/>
  <c r="F26" i="3" a="1"/>
  <c r="F26" i="3" s="1"/>
  <c r="F23" i="3" a="1"/>
  <c r="F23" i="3" s="1"/>
  <c r="F21" i="3" a="1"/>
  <c r="F21" i="3" s="1"/>
  <c r="F18" i="3" a="1"/>
  <c r="F18" i="3" s="1"/>
  <c r="N32" i="3" l="1"/>
  <c r="N37" i="3" s="1"/>
  <c r="K52" i="3"/>
  <c r="L52" i="3" s="1"/>
  <c r="K49" i="3"/>
  <c r="L49" i="3" s="1"/>
  <c r="K45" i="3"/>
  <c r="L45" i="3" s="1"/>
  <c r="N19" i="3"/>
  <c r="N20" i="3" s="1"/>
  <c r="N25" i="3" s="1" a="1"/>
  <c r="N25" i="3" s="1"/>
  <c r="N21" i="3"/>
  <c r="N26" i="3" s="1" a="1"/>
  <c r="N26" i="3" s="1"/>
  <c r="N27" i="3" a="1"/>
  <c r="N27" i="3" s="1"/>
  <c r="N39" i="3"/>
  <c r="N36" i="3"/>
  <c r="N44" i="3"/>
  <c r="N40" i="3"/>
  <c r="N48" i="3"/>
  <c r="N23" i="3" a="1"/>
  <c r="N23" i="3" s="1"/>
  <c r="L18" i="3"/>
  <c r="K48" i="3"/>
  <c r="L48" i="3" s="1"/>
  <c r="L20" i="3"/>
  <c r="L21" i="3"/>
  <c r="L23" i="3"/>
  <c r="K51" i="3"/>
  <c r="L51" i="3" s="1"/>
  <c r="L19" i="3"/>
  <c r="K47" i="3"/>
  <c r="L47" i="3" s="1"/>
  <c r="L26" i="3"/>
  <c r="L22" i="3"/>
  <c r="K44" i="3"/>
  <c r="L44" i="3" s="1"/>
  <c r="K50" i="3"/>
  <c r="L50" i="3" s="1"/>
  <c r="K46" i="3"/>
  <c r="L46" i="3" s="1"/>
  <c r="K53" i="3"/>
  <c r="L53" i="3" s="1"/>
  <c r="F25" i="3"/>
  <c r="F20" i="3"/>
  <c r="N33" i="3" l="1"/>
  <c r="N46" i="3" s="1"/>
  <c r="N24" i="3" a="1"/>
  <c r="N24" i="3" s="1"/>
  <c r="N50" i="3" s="1"/>
  <c r="N45" i="3"/>
  <c r="N47" i="3"/>
  <c r="N53" i="3"/>
  <c r="N49" i="3"/>
  <c r="N52" i="3"/>
  <c r="M31" i="3"/>
  <c r="N38" i="3"/>
  <c r="N51" i="3" s="1"/>
  <c r="M44" i="3"/>
  <c r="D44" i="3" s="1"/>
  <c r="M18" i="3"/>
  <c r="D18" i="3" s="1"/>
  <c r="F53" i="3"/>
  <c r="F13" i="3"/>
  <c r="F52" i="3" s="1"/>
  <c r="F50" i="3"/>
  <c r="F48" i="3"/>
  <c r="F10" i="3"/>
  <c r="F8" i="3"/>
  <c r="F47" i="3" s="1"/>
  <c r="F5" i="3"/>
  <c r="E6" i="3"/>
  <c r="H6" i="3" s="1"/>
  <c r="D10" i="3"/>
  <c r="E10" i="3" l="1"/>
  <c r="H10" i="3" s="1"/>
  <c r="D31" i="3"/>
  <c r="E31" i="3" s="1"/>
  <c r="H31" i="3" s="1"/>
  <c r="F7" i="3"/>
  <c r="F46" i="3" s="1"/>
  <c r="F44" i="3"/>
  <c r="E44" i="3" s="1"/>
  <c r="H44" i="3" s="1"/>
  <c r="F12" i="3"/>
  <c r="F51" i="3" s="1"/>
  <c r="F49" i="3"/>
  <c r="E9" i="3"/>
  <c r="H9" i="3" s="1"/>
  <c r="E18" i="3"/>
  <c r="H18" i="3" s="1"/>
  <c r="M19" i="3"/>
  <c r="D19" i="3" s="1"/>
  <c r="E5" i="3"/>
  <c r="H5" i="3" s="1"/>
  <c r="M47" i="3"/>
  <c r="E8" i="3"/>
  <c r="H8" i="3" s="1"/>
  <c r="D14" i="3"/>
  <c r="E14" i="3" s="1"/>
  <c r="H14" i="3" s="1"/>
  <c r="M35" i="3"/>
  <c r="M48" i="3"/>
  <c r="D11" i="3"/>
  <c r="M32" i="3"/>
  <c r="M45" i="3"/>
  <c r="M22" i="3"/>
  <c r="D22" i="3" s="1"/>
  <c r="M21" i="3"/>
  <c r="D21" i="3" s="1"/>
  <c r="D13" i="3"/>
  <c r="M52" i="3" s="1"/>
  <c r="M34" i="3"/>
  <c r="M36" i="3"/>
  <c r="M49" i="3"/>
  <c r="D49" i="3" s="1"/>
  <c r="M23" i="3"/>
  <c r="D23" i="3" s="1"/>
  <c r="D7" i="3"/>
  <c r="D48" i="3" l="1"/>
  <c r="E48" i="3" s="1"/>
  <c r="H48" i="3" s="1"/>
  <c r="D35" i="3"/>
  <c r="E35" i="3" s="1"/>
  <c r="H35" i="3" s="1"/>
  <c r="D52" i="3"/>
  <c r="E52" i="3" s="1"/>
  <c r="H52" i="3" s="1"/>
  <c r="D47" i="3"/>
  <c r="E47" i="3" s="1"/>
  <c r="H47" i="3" s="1"/>
  <c r="D34" i="3"/>
  <c r="E34" i="3" s="1"/>
  <c r="H34" i="3" s="1"/>
  <c r="D32" i="3"/>
  <c r="E32" i="3" s="1"/>
  <c r="H32" i="3" s="1"/>
  <c r="D45" i="3"/>
  <c r="E45" i="3" s="1"/>
  <c r="H45" i="3" s="1"/>
  <c r="D36" i="3"/>
  <c r="E36" i="3" s="1"/>
  <c r="H36" i="3" s="1"/>
  <c r="E7" i="3"/>
  <c r="H7" i="3" s="1"/>
  <c r="E49" i="3"/>
  <c r="H49" i="3" s="1"/>
  <c r="M53" i="3"/>
  <c r="E19" i="3"/>
  <c r="H19" i="3" s="1"/>
  <c r="E21" i="3"/>
  <c r="H21" i="3" s="1"/>
  <c r="E22" i="3"/>
  <c r="H22" i="3" s="1"/>
  <c r="E23" i="3"/>
  <c r="H23" i="3" s="1"/>
  <c r="M27" i="3"/>
  <c r="M40" i="3"/>
  <c r="M24" i="3"/>
  <c r="D24" i="3" s="1"/>
  <c r="E11" i="3"/>
  <c r="H11" i="3" s="1"/>
  <c r="M50" i="3"/>
  <c r="M39" i="3"/>
  <c r="E13" i="3"/>
  <c r="H13" i="3" s="1"/>
  <c r="M37" i="3"/>
  <c r="M26" i="3"/>
  <c r="D26" i="3" s="1"/>
  <c r="D12" i="3"/>
  <c r="M33" i="3"/>
  <c r="M46" i="3"/>
  <c r="M20" i="3"/>
  <c r="D20" i="3" s="1"/>
  <c r="D40" i="3" l="1"/>
  <c r="E40" i="3" s="1"/>
  <c r="H40" i="3" s="1"/>
  <c r="D27" i="3"/>
  <c r="E27" i="3" s="1"/>
  <c r="H27" i="3" s="1"/>
  <c r="D53" i="3"/>
  <c r="E53" i="3" s="1"/>
  <c r="H53" i="3" s="1"/>
  <c r="D39" i="3"/>
  <c r="E39" i="3" s="1"/>
  <c r="H39" i="3" s="1"/>
  <c r="D37" i="3"/>
  <c r="E37" i="3" s="1"/>
  <c r="H37" i="3" s="1"/>
  <c r="D50" i="3"/>
  <c r="E50" i="3" s="1"/>
  <c r="H50" i="3" s="1"/>
  <c r="D33" i="3"/>
  <c r="E33" i="3" s="1"/>
  <c r="H33" i="3" s="1"/>
  <c r="D46" i="3"/>
  <c r="E46" i="3" s="1"/>
  <c r="H46" i="3" s="1"/>
  <c r="E24" i="3"/>
  <c r="H24" i="3" s="1"/>
  <c r="E20" i="3"/>
  <c r="H20" i="3" s="1"/>
  <c r="E26" i="3"/>
  <c r="H26" i="3" s="1"/>
  <c r="M38" i="3"/>
  <c r="E12" i="3"/>
  <c r="H12" i="3" s="1"/>
  <c r="M51" i="3"/>
  <c r="M25" i="3"/>
  <c r="D25" i="3" s="1"/>
  <c r="D51" i="3" l="1"/>
  <c r="E51" i="3" s="1"/>
  <c r="H51" i="3" s="1"/>
  <c r="D38" i="3"/>
  <c r="E38" i="3" s="1"/>
  <c r="H38" i="3" s="1"/>
  <c r="E25" i="3"/>
  <c r="H25" i="3" s="1"/>
</calcChain>
</file>

<file path=xl/comments1.xml><?xml version="1.0" encoding="utf-8"?>
<comments xmlns="http://schemas.openxmlformats.org/spreadsheetml/2006/main">
  <authors>
    <author>Autor</author>
  </authors>
  <commentList>
    <comment ref="B4" authorId="0" shapeId="0">
      <text>
        <r>
          <rPr>
            <sz val="10"/>
            <color indexed="81"/>
            <rFont val="Tahoma"/>
            <family val="2"/>
          </rPr>
          <t>*El Codi de cada valor no correspon als eixos de lletra i número de la cel·la del full de càlcul</t>
        </r>
      </text>
    </comment>
  </commentList>
</comments>
</file>

<file path=xl/sharedStrings.xml><?xml version="1.0" encoding="utf-8"?>
<sst xmlns="http://schemas.openxmlformats.org/spreadsheetml/2006/main" count="1711" uniqueCount="902">
  <si>
    <t>Percentatge de bonificació</t>
  </si>
  <si>
    <t>Si</t>
  </si>
  <si>
    <t>No</t>
  </si>
  <si>
    <t>Dades a omplir</t>
  </si>
  <si>
    <t>Potència Fotovoltaica Instal·lada</t>
  </si>
  <si>
    <t>Informació Bàsica</t>
  </si>
  <si>
    <t>Criteris de Bonificació</t>
  </si>
  <si>
    <t>Vols aplicar aquest criteri?</t>
  </si>
  <si>
    <t>Valor del criteri</t>
  </si>
  <si>
    <t>Descripció / Informació</t>
  </si>
  <si>
    <t>Temps màxim d'aplicació de la bonificació</t>
  </si>
  <si>
    <t>És important tenir en compte que si bonifiquem un tipus d'instal·lacions més que altres, estarem impulsant indirectament la proliferació d'aquestes, a banda de els diferents escenaris que puguin aparèxer donat l'impacte econòmic que pugui tenir</t>
  </si>
  <si>
    <t>Bonificar a partir d'un mínim de potència instal·lada</t>
  </si>
  <si>
    <t>Indicar, si s'escau, el valor màxim (en €) que serà bonificable per una instal·lació, essent aquest l'acumulat amb el pas dels anys</t>
  </si>
  <si>
    <t>Com utilitzar l'eina</t>
  </si>
  <si>
    <r>
      <t xml:space="preserve">La bonificació serà diferent segons el tipus de família?
</t>
    </r>
    <r>
      <rPr>
        <sz val="9"/>
        <color theme="1"/>
        <rFont val="Calibri"/>
        <family val="2"/>
        <scheme val="minor"/>
      </rPr>
      <t>En cas que no, s'entén que la bonificació serà igual independentment de les circumstàncies familiars</t>
    </r>
  </si>
  <si>
    <t>Durada de la bonificació (anys)</t>
  </si>
  <si>
    <t>En cas de família nombrosa, s'aplicarà un descompte especial?</t>
  </si>
  <si>
    <t>En cas de usuari vulnerables, s'aplicarà un descompte especial?</t>
  </si>
  <si>
    <t>En cas de ciscumstàncies especials o discapacitat, s'aplicarà un descompte especial?</t>
  </si>
  <si>
    <t>A quin concepte aplica?</t>
  </si>
  <si>
    <t>Omplir en cas de voler Bonificar
 segons el tipus de familia</t>
  </si>
  <si>
    <t>Omplir en cas de voler Bonificar
de manera diferent l'Autoconsum Compartit</t>
  </si>
  <si>
    <r>
      <t xml:space="preserve">Quants participants tindrà? </t>
    </r>
    <r>
      <rPr>
        <sz val="11"/>
        <color theme="1"/>
        <rFont val="Calibri"/>
        <family val="2"/>
        <scheme val="minor"/>
      </rPr>
      <t>Escriu una mitjana aprox.</t>
    </r>
  </si>
  <si>
    <t>Escollir pels diferents perfils de famílies, si es vol aplicar o no uns criteris diferents, i indicar entre les opcions desplegables a quin dels conceptes afectarà. Finalment, introduir el valor (sense unitats) a la columna E (les unitats seran les mateixes que en els apartats anteriors).</t>
  </si>
  <si>
    <t>A quantes famílies afectarà?
(Que tinguin autoconsum)</t>
  </si>
  <si>
    <t>Nou valor que aplica
al tipus de família</t>
  </si>
  <si>
    <t>Es bonificarà un percentatge concret a cadascú?</t>
  </si>
  <si>
    <t>Variarà el temps màxim de durada de la bonificació?</t>
  </si>
  <si>
    <t>En cas de ser una quota de bonificació fixa, variarà per instal·lacions compartides?</t>
  </si>
  <si>
    <t>En cas que es vulgui ampliar o reduir el nombre d'anys màxims que podrà durar la bonificació, indicar "Si" i introduir el valor (en anys) a la casella a l'esquerra d'aquesta</t>
  </si>
  <si>
    <t>En cas que es vulgui ampliar o reduir la quota fixa de bonificació del IBI, indicar "Si" i introduir el valor a la casella a l'esquerra d'aquesta (les unitats s'introdueixen soles)</t>
  </si>
  <si>
    <t>En cas que es vulgui ampliar o reduir el percentatge de bonificació del IBI aplicat, indicar "Si" i introduir el valor a la casella a l'esquerra d'aquesta (les unitats s'introdueixen soles)</t>
  </si>
  <si>
    <t>Introduir el valor mitjà estimat (sense unitats) que es correspongui al nombre de participants que s'espera per les instal·lacions compartides</t>
  </si>
  <si>
    <t>Casos TOTHOM IGUAL</t>
  </si>
  <si>
    <t>Casos afegint Criteris segons Tipus d'Instal·lació</t>
  </si>
  <si>
    <t>Criteris específics tant per Tipus d'Instal·lació com Socials</t>
  </si>
  <si>
    <t>Casos afegint criteris Socials (sense diferenciar per Tipus d'Instal·lació)</t>
  </si>
  <si>
    <t>gent normal</t>
  </si>
  <si>
    <t>gent afectada</t>
  </si>
  <si>
    <t>Impacte gent normal</t>
  </si>
  <si>
    <t>Impacte bonificats</t>
  </si>
  <si>
    <t>instal compartides</t>
  </si>
  <si>
    <t>Instal indiv</t>
  </si>
  <si>
    <t>Impacte instal indiv</t>
  </si>
  <si>
    <t>Impacte compartides</t>
  </si>
  <si>
    <t>En cas de bonificar a partir d'una potència mínima instal·lada, serà aquesta diferent pels participants d'instal·lacions compartides?</t>
  </si>
  <si>
    <t>En cas que es vulgui ampliar o reduir la potència mínima de la instal·lació fotovoltaica per tal de ser bonificable, indicar "Si" i introduir el valor a la casella a l'esquerra d'aquesta (les unitats s'introdueixen soles)</t>
  </si>
  <si>
    <t>Situació</t>
  </si>
  <si>
    <t>Percentatge de bonificació durant un temps màxim establert</t>
  </si>
  <si>
    <t>Percentatge de bonificació fins arribar al topall establert</t>
  </si>
  <si>
    <t>Es bonifica un percentatge i o bé s'arriba a un temps màxim establert o a un topall bonificable (el que s'assoleixi abans)</t>
  </si>
  <si>
    <t>Es bonifica una quantitat fixa durant un temps màxim establert</t>
  </si>
  <si>
    <t>Es bonifica una quantitat fixa fins arribar a un topall establert</t>
  </si>
  <si>
    <t xml:space="preserve">Percentatge de bonificació durant un temps màxim establert al que se li afegeix una potència mínima instal·lada per ser el·legible </t>
  </si>
  <si>
    <t xml:space="preserve">Percentatge de bonificació fins arribar al topall establert al que se li afegeix una potència mínima instal·lada per ser el·legible </t>
  </si>
  <si>
    <t xml:space="preserve">Es bonifica un percentatge i o bé s'arriba a un temps màxim establert o a un topall bonificable (el que s'assoleixi abans) al que se li afegeix una potència mínima instal·lada per ser el·legible </t>
  </si>
  <si>
    <t xml:space="preserve">Es bonifica una quantitat fixa durant un temps màxim establert al que se li afegeix una potència mínima instal·lada per ser el·legible </t>
  </si>
  <si>
    <t xml:space="preserve">Es bonifica una quantitat fixa fins arribar a un topall establert al que se li afegeix una potència mínima instal·lada per ser el·legible </t>
  </si>
  <si>
    <t>Indicar, si s'escau, el nombre d'anys durant els quals s'aplicarà la bonificació del IBI (seleccionar del desplegable)</t>
  </si>
  <si>
    <t>Indicar, si s'escau, el percentatge de reducció que s'aplicarà al import del IBI (Seleccionar del desplegable)</t>
  </si>
  <si>
    <t>Impacte Total Estimat de la Bonificació</t>
  </si>
  <si>
    <t>Impacte Anual Estimat de la Bonificació</t>
  </si>
  <si>
    <r>
      <t xml:space="preserve">La bonificació s'aplicarà de manera automàtica?
</t>
    </r>
    <r>
      <rPr>
        <sz val="10"/>
        <color theme="1"/>
        <rFont val="Calibri"/>
        <family val="2"/>
        <scheme val="minor"/>
      </rPr>
      <t>En cas que no, indicar el % d'usuaris que la demanaran</t>
    </r>
  </si>
  <si>
    <t>Pot ser interessant plantejar el fet de incloure clàusules socials malgrat es tracti d'una bonificació orientada als subministraments d'energia. En cas de respondre "Si", els criteris es despleguen en una de les taules inferiors</t>
  </si>
  <si>
    <t>En cas d'haver-hi un topall màxim bonificable, serà diferent pels participants d'instal·lacions compartides?</t>
  </si>
  <si>
    <t>Abrera</t>
  </si>
  <si>
    <t>Aguilar de Segarra</t>
  </si>
  <si>
    <t>Aiguafreda</t>
  </si>
  <si>
    <t>Alella</t>
  </si>
  <si>
    <t>Alpens</t>
  </si>
  <si>
    <t>Ametlla del Vallès, L'</t>
  </si>
  <si>
    <t>Arenys de Mar</t>
  </si>
  <si>
    <t>Arenys de Munt</t>
  </si>
  <si>
    <t>Argençola</t>
  </si>
  <si>
    <t>Argentona</t>
  </si>
  <si>
    <t>Artés</t>
  </si>
  <si>
    <t>Avià</t>
  </si>
  <si>
    <t>Avinyó</t>
  </si>
  <si>
    <t>Avinyonet del Penedès</t>
  </si>
  <si>
    <t>Badalona</t>
  </si>
  <si>
    <t>Badia del Vallès</t>
  </si>
  <si>
    <t>Bagà</t>
  </si>
  <si>
    <t>Balenyà</t>
  </si>
  <si>
    <t>Balsareny</t>
  </si>
  <si>
    <t>Barberà del Vallès</t>
  </si>
  <si>
    <t>Barcelona</t>
  </si>
  <si>
    <t>Begues</t>
  </si>
  <si>
    <t>Bellprat</t>
  </si>
  <si>
    <t>Berga</t>
  </si>
  <si>
    <t>Bigues i Riells</t>
  </si>
  <si>
    <t>Borredà</t>
  </si>
  <si>
    <t>Bruc, El</t>
  </si>
  <si>
    <t>Brull, El</t>
  </si>
  <si>
    <t>Cabanyes, Les</t>
  </si>
  <si>
    <t>Cabrera d'Anoia</t>
  </si>
  <si>
    <t>Cabrera de Mar</t>
  </si>
  <si>
    <t>Cabrils</t>
  </si>
  <si>
    <t>Calaf</t>
  </si>
  <si>
    <t>Calders</t>
  </si>
  <si>
    <t>Caldes de Montbui</t>
  </si>
  <si>
    <t>Caldes d'Estrac</t>
  </si>
  <si>
    <t>Calella</t>
  </si>
  <si>
    <t>Calldetenes</t>
  </si>
  <si>
    <t>Callús</t>
  </si>
  <si>
    <t>Calonge de Segarra</t>
  </si>
  <si>
    <t>Campins</t>
  </si>
  <si>
    <t>Canet de Mar</t>
  </si>
  <si>
    <t>Canovelles</t>
  </si>
  <si>
    <t>Cànoves i Samalús</t>
  </si>
  <si>
    <t>Canyelles</t>
  </si>
  <si>
    <t>Capellades</t>
  </si>
  <si>
    <t>Capolat</t>
  </si>
  <si>
    <t>Cardedeu</t>
  </si>
  <si>
    <t>Cardona</t>
  </si>
  <si>
    <t>Carme</t>
  </si>
  <si>
    <t>Casserres</t>
  </si>
  <si>
    <t>Castell de l'Areny</t>
  </si>
  <si>
    <t>Castellar de n'Hug</t>
  </si>
  <si>
    <t>Castellar del Riu</t>
  </si>
  <si>
    <t>Castellar del Vallès</t>
  </si>
  <si>
    <t>Castellbell i el Vilar</t>
  </si>
  <si>
    <t>Castellbisbal</t>
  </si>
  <si>
    <t>Castellcir</t>
  </si>
  <si>
    <t>Castelldefels</t>
  </si>
  <si>
    <t>Castellet i la Gornal</t>
  </si>
  <si>
    <t>Castellfollit de Riubregós</t>
  </si>
  <si>
    <t>Castellfollit del Boix</t>
  </si>
  <si>
    <t>Castellgalí</t>
  </si>
  <si>
    <t>Castellnou de Bages</t>
  </si>
  <si>
    <t>Castellolí</t>
  </si>
  <si>
    <t>Castellterçol</t>
  </si>
  <si>
    <t>Castellví de la Marca</t>
  </si>
  <si>
    <t>Castellví de Rosanes</t>
  </si>
  <si>
    <t>Centelles</t>
  </si>
  <si>
    <t>Cercs</t>
  </si>
  <si>
    <t>Cerdanyola del Vallès</t>
  </si>
  <si>
    <t>Cervelló</t>
  </si>
  <si>
    <t>Collbató</t>
  </si>
  <si>
    <t>Collsuspina</t>
  </si>
  <si>
    <t>Copons</t>
  </si>
  <si>
    <t>Corbera de Llobregat</t>
  </si>
  <si>
    <t>Cornellà de Llobregat</t>
  </si>
  <si>
    <t>Cubelles</t>
  </si>
  <si>
    <t>Dosrius</t>
  </si>
  <si>
    <t>Esparreguera</t>
  </si>
  <si>
    <t>Esplugues de Llobregat</t>
  </si>
  <si>
    <t>Espunyola, L'</t>
  </si>
  <si>
    <t>Esquirol, L'</t>
  </si>
  <si>
    <t>Estany, L'</t>
  </si>
  <si>
    <t>Figaró-Montmany</t>
  </si>
  <si>
    <t>Fígols</t>
  </si>
  <si>
    <t>Fogars de la Selva</t>
  </si>
  <si>
    <t>Fogars de Montclús</t>
  </si>
  <si>
    <t>Folgueroles</t>
  </si>
  <si>
    <t>Fonollosa</t>
  </si>
  <si>
    <t>Font-rubí</t>
  </si>
  <si>
    <t>Franqueses del Vallès, Les</t>
  </si>
  <si>
    <t>Gaià</t>
  </si>
  <si>
    <t>Gallifa</t>
  </si>
  <si>
    <t>Garriga, La</t>
  </si>
  <si>
    <t>Gavà</t>
  </si>
  <si>
    <t>Gelida</t>
  </si>
  <si>
    <t>Gironella</t>
  </si>
  <si>
    <t>Gisclareny</t>
  </si>
  <si>
    <t>Granada, La</t>
  </si>
  <si>
    <t>Granera</t>
  </si>
  <si>
    <t>Granollers</t>
  </si>
  <si>
    <t>Gualba</t>
  </si>
  <si>
    <t>Guardiola de Berguedà</t>
  </si>
  <si>
    <t>Gurb</t>
  </si>
  <si>
    <t>Hospitalet de Llobregat, L'</t>
  </si>
  <si>
    <t>Hostalets de Pierola, Els</t>
  </si>
  <si>
    <t>Igualada</t>
  </si>
  <si>
    <t>Jorba</t>
  </si>
  <si>
    <t>Llacuna, La</t>
  </si>
  <si>
    <t>Llagosta, La</t>
  </si>
  <si>
    <t>Lliçà d'Amunt</t>
  </si>
  <si>
    <t>Lliçà de Vall</t>
  </si>
  <si>
    <t>Llinars del Vallès</t>
  </si>
  <si>
    <t>Lluçà</t>
  </si>
  <si>
    <t>Malgrat de Mar</t>
  </si>
  <si>
    <t>Malla</t>
  </si>
  <si>
    <t>Manlleu</t>
  </si>
  <si>
    <t>Manresa</t>
  </si>
  <si>
    <t>Marganell</t>
  </si>
  <si>
    <t>Martorell</t>
  </si>
  <si>
    <t>Martorelles</t>
  </si>
  <si>
    <t>Masies de Roda, Les</t>
  </si>
  <si>
    <t>Masies de Voltregà, Les</t>
  </si>
  <si>
    <t>Masnou, El</t>
  </si>
  <si>
    <t>Masquefa</t>
  </si>
  <si>
    <t>Matadepera</t>
  </si>
  <si>
    <t>Mataró</t>
  </si>
  <si>
    <t>Mediona</t>
  </si>
  <si>
    <t>Moià</t>
  </si>
  <si>
    <t>Molins de Rei</t>
  </si>
  <si>
    <t>Mollet del Vallès</t>
  </si>
  <si>
    <t>Monistrol de Calders</t>
  </si>
  <si>
    <t>Monistrol de Montserrat</t>
  </si>
  <si>
    <t>Montcada i Reixac</t>
  </si>
  <si>
    <t>Montclar</t>
  </si>
  <si>
    <t>Montesquiu</t>
  </si>
  <si>
    <t>Montgat</t>
  </si>
  <si>
    <t>Montmajor</t>
  </si>
  <si>
    <t>Montmaneu</t>
  </si>
  <si>
    <t>Montmeló</t>
  </si>
  <si>
    <t>Montornès del Vallès</t>
  </si>
  <si>
    <t>Montseny</t>
  </si>
  <si>
    <t>Muntanyola</t>
  </si>
  <si>
    <t>Mura</t>
  </si>
  <si>
    <t>Navarcles</t>
  </si>
  <si>
    <t>Navàs</t>
  </si>
  <si>
    <t>Nou de Berguedà, La</t>
  </si>
  <si>
    <t>Òdena</t>
  </si>
  <si>
    <t>Olèrdola</t>
  </si>
  <si>
    <t>Olesa de Bonesvalls</t>
  </si>
  <si>
    <t>Olesa de Montserrat</t>
  </si>
  <si>
    <t>Olivella</t>
  </si>
  <si>
    <t>Olost</t>
  </si>
  <si>
    <t>Olvan</t>
  </si>
  <si>
    <t>Orís</t>
  </si>
  <si>
    <t>Oristà</t>
  </si>
  <si>
    <t>Orpí</t>
  </si>
  <si>
    <t>Òrrius</t>
  </si>
  <si>
    <t>Pacs del Penedès</t>
  </si>
  <si>
    <t>Palafolls</t>
  </si>
  <si>
    <t>Palau-solità i Plegamans</t>
  </si>
  <si>
    <t>Pallejà</t>
  </si>
  <si>
    <t>Palma de Cervelló, La</t>
  </si>
  <si>
    <t>Papiol, El</t>
  </si>
  <si>
    <t>Parets del Vallès</t>
  </si>
  <si>
    <t>Perafita</t>
  </si>
  <si>
    <t>Piera</t>
  </si>
  <si>
    <t>Pineda de Mar</t>
  </si>
  <si>
    <t>Pla del Penedès, El</t>
  </si>
  <si>
    <t>Pobla de Claramunt, La</t>
  </si>
  <si>
    <t>Pobla de Lillet, La</t>
  </si>
  <si>
    <t>Polinyà</t>
  </si>
  <si>
    <t>Pont de Vilomara i Rocafort, El</t>
  </si>
  <si>
    <t>Pontons</t>
  </si>
  <si>
    <t>Prat de Llobregat, El</t>
  </si>
  <si>
    <t>Prats de Lluçanès</t>
  </si>
  <si>
    <t>Prats de Rei, Els</t>
  </si>
  <si>
    <t>Premià de Dalt</t>
  </si>
  <si>
    <t>Premià de Mar</t>
  </si>
  <si>
    <t>Puigdàlber</t>
  </si>
  <si>
    <t>Puig-reig</t>
  </si>
  <si>
    <t>Pujalt</t>
  </si>
  <si>
    <t>Quar, La</t>
  </si>
  <si>
    <t>Rajadell</t>
  </si>
  <si>
    <t>Rellinars</t>
  </si>
  <si>
    <t>Ripollet</t>
  </si>
  <si>
    <t>Roca del Vallès, La</t>
  </si>
  <si>
    <t>Roda de Ter</t>
  </si>
  <si>
    <t>Rubí</t>
  </si>
  <si>
    <t>Rubió</t>
  </si>
  <si>
    <t>Rupit i Pruit</t>
  </si>
  <si>
    <t>Sabadell</t>
  </si>
  <si>
    <t>Sagàs</t>
  </si>
  <si>
    <t>Saldes</t>
  </si>
  <si>
    <t>Sallent</t>
  </si>
  <si>
    <t>Sant Adrià de Besòs</t>
  </si>
  <si>
    <t>Sant Agustí de Lluçanès</t>
  </si>
  <si>
    <t>Sant Andreu de la Barca</t>
  </si>
  <si>
    <t>Sant Andreu de Llavaneres</t>
  </si>
  <si>
    <t>Sant Antoni de Vilamajor</t>
  </si>
  <si>
    <t>Sant Bartomeu del Grau</t>
  </si>
  <si>
    <t>Sant Boi de Llobregat</t>
  </si>
  <si>
    <t>Sant Boi de Lluçanès</t>
  </si>
  <si>
    <t>Sant Cebrià de Vallalta</t>
  </si>
  <si>
    <t>Sant Celoni</t>
  </si>
  <si>
    <t>Sant Climent de Llobregat</t>
  </si>
  <si>
    <t>Sant Cugat del Vallès</t>
  </si>
  <si>
    <t>Sant Cugat Sesgarrigues</t>
  </si>
  <si>
    <t>Sant Esteve de Palautordera</t>
  </si>
  <si>
    <t>Sant Esteve Sesrovires</t>
  </si>
  <si>
    <t>Sant Feliu de Codines</t>
  </si>
  <si>
    <t>Sant Feliu de Llobregat</t>
  </si>
  <si>
    <t>Sant Feliu Sasserra</t>
  </si>
  <si>
    <t>Sant Fost de Campsentelles</t>
  </si>
  <si>
    <t>Sant Fruitós de Bages</t>
  </si>
  <si>
    <t>Sant Hipòlit de Voltregà</t>
  </si>
  <si>
    <t>Sant Iscle de Vallalta</t>
  </si>
  <si>
    <t>Sant Jaume de Frontanyà</t>
  </si>
  <si>
    <t>Sant Joan de Vilatorrada</t>
  </si>
  <si>
    <t>Sant Joan Despí</t>
  </si>
  <si>
    <t>Sant Julià de Cerdanyola</t>
  </si>
  <si>
    <t>Sant Julià de Vilatorta</t>
  </si>
  <si>
    <t>Sant Just Desvern</t>
  </si>
  <si>
    <t>Sant Llorenç d'Hortons</t>
  </si>
  <si>
    <t>Sant Llorenç Savall</t>
  </si>
  <si>
    <t>Sant Martí d'Albars</t>
  </si>
  <si>
    <t>Sant Martí de Centelles</t>
  </si>
  <si>
    <t>Sant Martí de Tous</t>
  </si>
  <si>
    <t>Sant Martí Sarroca</t>
  </si>
  <si>
    <t>Sant Martí Sesgueioles</t>
  </si>
  <si>
    <t>Sant Mateu de Bages</t>
  </si>
  <si>
    <t>Sant Pere de Ribes</t>
  </si>
  <si>
    <t>Sant Pere de Riudebitlles</t>
  </si>
  <si>
    <t>Sant Pere de Torelló</t>
  </si>
  <si>
    <t>Sant Pere de Vilamajor</t>
  </si>
  <si>
    <t>Sant Pere Sallavinera</t>
  </si>
  <si>
    <t>Sant Pol de Mar</t>
  </si>
  <si>
    <t>Sant Quintí de Mediona</t>
  </si>
  <si>
    <t>Sant Quirze de Besora</t>
  </si>
  <si>
    <t>Sant Quirze del Vallès</t>
  </si>
  <si>
    <t>Sant Quirze Safaja</t>
  </si>
  <si>
    <t>Sant Sadurní d'Anoia</t>
  </si>
  <si>
    <t>Sant Sadurní d'Osormort</t>
  </si>
  <si>
    <t>Sant Salvador de Guardiola</t>
  </si>
  <si>
    <t>Sant Vicenç de Castellet</t>
  </si>
  <si>
    <t>Sant Vicenç de Montalt</t>
  </si>
  <si>
    <t>Sant Vicenç de Torelló</t>
  </si>
  <si>
    <t>Sant Vicenç dels Horts</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</si>
  <si>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</si>
  <si>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</si>
  <si>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</si>
  <si>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</si>
  <si>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</si>
  <si>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</si>
  <si>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</si>
  <si>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</si>
  <si>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</si>
  <si>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Santa Maria de Besora</t>
  </si>
  <si>
    <t>Santa Maria de Martorelles</t>
  </si>
  <si>
    <t>Santa Maria de Merlès</t>
  </si>
  <si>
    <t>Santa Maria de Miralles</t>
  </si>
  <si>
    <t>Santa Maria de Palautordera</t>
  </si>
  <si>
    <t>Santa Maria d'Oló</t>
  </si>
  <si>
    <t>Santa Perpètua de Mogoda</t>
  </si>
  <si>
    <t>Santa Susanna</t>
  </si>
  <si>
    <t>Santpedor</t>
  </si>
  <si>
    <t>Sentmenat</t>
  </si>
  <si>
    <t>Seva</t>
  </si>
  <si>
    <t>Sitges</t>
  </si>
  <si>
    <t>Sobremunt</t>
  </si>
  <si>
    <t>Sora</t>
  </si>
  <si>
    <t>Subirats</t>
  </si>
  <si>
    <t>Súria</t>
  </si>
  <si>
    <t>Tagamanent</t>
  </si>
  <si>
    <t>Talamanca</t>
  </si>
  <si>
    <t>Taradell</t>
  </si>
  <si>
    <t>Tavèrnoles</t>
  </si>
  <si>
    <t>Tavertet</t>
  </si>
  <si>
    <t>Teià</t>
  </si>
  <si>
    <t>Terrassa</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</si>
  <si>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</si>
  <si>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</si>
  <si>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</si>
  <si>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</si>
  <si>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</si>
  <si>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</si>
  <si>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</si>
  <si>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</si>
  <si>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</si>
  <si>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</si>
  <si>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</si>
  <si>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</si>
  <si>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</si>
  <si>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</si>
  <si>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</si>
  <si>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</si>
  <si>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</si>
  <si>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</si>
  <si>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Viladecans</t>
  </si>
  <si>
    <t>Viladecavalls</t>
  </si>
  <si>
    <t>Vilafranca del Penedès</t>
  </si>
  <si>
    <t>Vilalba Sasserra</t>
  </si>
  <si>
    <t>Vilanova de Sau</t>
  </si>
  <si>
    <t>Vilanova del Camí</t>
  </si>
  <si>
    <t>Vilanova del Vallès</t>
  </si>
  <si>
    <t>Vilanova i la Geltrú</t>
  </si>
  <si>
    <t>Vilassar de Dalt</t>
  </si>
  <si>
    <t>Vilassar de Mar</t>
  </si>
  <si>
    <t>Vilobí del Penedès</t>
  </si>
  <si>
    <t>Viver i Serrateix</t>
  </si>
  <si>
    <t>Municipi</t>
  </si>
  <si>
    <t>Codi Ine</t>
  </si>
  <si>
    <t>Últim any de Valoració Cadastral</t>
  </si>
  <si>
    <t>Nombre de Rebuts</t>
  </si>
  <si>
    <t>Base Imposable (Milers d'Euros)</t>
  </si>
  <si>
    <t>Quota Íntegra</t>
  </si>
  <si>
    <t>IBI Mitjà</t>
  </si>
  <si>
    <t>Magatzems</t>
  </si>
  <si>
    <t>Comercial</t>
  </si>
  <si>
    <t>Cultura</t>
  </si>
  <si>
    <t>Oci / Hostaleria</t>
  </si>
  <si>
    <t>Industrial</t>
  </si>
  <si>
    <t>Esportiu</t>
  </si>
  <si>
    <t>Sòl Vacant</t>
  </si>
  <si>
    <t>Obres d'Urbanització</t>
  </si>
  <si>
    <t>Oficines</t>
  </si>
  <si>
    <t>Edif. Singular</t>
  </si>
  <si>
    <t>Religiós</t>
  </si>
  <si>
    <t>Espectacles</t>
  </si>
  <si>
    <t>Residencial</t>
  </si>
  <si>
    <t>Sanitat</t>
  </si>
  <si>
    <t>Altres</t>
  </si>
  <si>
    <r>
      <t xml:space="preserve">Municipi </t>
    </r>
    <r>
      <rPr>
        <b/>
        <sz val="10"/>
        <color theme="1"/>
        <rFont val="Calibri"/>
        <family val="2"/>
        <scheme val="minor"/>
      </rPr>
      <t>(Seleccionar)</t>
    </r>
  </si>
  <si>
    <t>En cas que no es vulgui bonificar un percentatge, sinó que es vulgui bonificar una quantitat fixa, que serà la mateixa per tothom i es cobrarà anualment</t>
  </si>
  <si>
    <r>
      <t xml:space="preserve">Quota de IBI bonificada fixa </t>
    </r>
    <r>
      <rPr>
        <sz val="10"/>
        <color theme="1"/>
        <rFont val="Calibri"/>
        <family val="2"/>
        <scheme val="minor"/>
      </rPr>
      <t>(Anual)</t>
    </r>
  </si>
  <si>
    <t>Recaptació anual descomptant la bonificació</t>
  </si>
  <si>
    <t>Recaptació Anual Sense bonificació</t>
  </si>
  <si>
    <t>Per a què serveix aquesta eina?</t>
  </si>
  <si>
    <t>Agullana</t>
  </si>
  <si>
    <t>Aiguaviva</t>
  </si>
  <si>
    <t>Albanyà</t>
  </si>
  <si>
    <t>Albons</t>
  </si>
  <si>
    <t>Alp</t>
  </si>
  <si>
    <t>Amer</t>
  </si>
  <si>
    <t>Anglès</t>
  </si>
  <si>
    <t>Arbúcies</t>
  </si>
  <si>
    <t>Argelaguer</t>
  </si>
  <si>
    <t>Armentera, l'</t>
  </si>
  <si>
    <t>Avinyonet de Puigventós</t>
  </si>
  <si>
    <t>Banyoles</t>
  </si>
  <si>
    <t>Bàscara</t>
  </si>
  <si>
    <t>Begur</t>
  </si>
  <si>
    <t>Bellcaire d'Empordà</t>
  </si>
  <si>
    <t>Besalú</t>
  </si>
  <si>
    <t>Bescanó</t>
  </si>
  <si>
    <t>Beuda</t>
  </si>
  <si>
    <t>Bisbal d'Empordà, la</t>
  </si>
  <si>
    <t>Biure</t>
  </si>
  <si>
    <t>Blanes</t>
  </si>
  <si>
    <t>Boadella i les Escaules</t>
  </si>
  <si>
    <t>Bolvir</t>
  </si>
  <si>
    <t>Bordils</t>
  </si>
  <si>
    <t>Borrassà</t>
  </si>
  <si>
    <t>Breda</t>
  </si>
  <si>
    <t>Brunyola i Sant Martí Sapresa</t>
  </si>
  <si>
    <t>Cabanelles</t>
  </si>
  <si>
    <t>Cabanes</t>
  </si>
  <si>
    <t>Cadaqués</t>
  </si>
  <si>
    <t>Caldes de Malavella</t>
  </si>
  <si>
    <t>Calonge i Sant Antoni</t>
  </si>
  <si>
    <t>Camós</t>
  </si>
  <si>
    <t>Campdevànol</t>
  </si>
  <si>
    <t>Campelles</t>
  </si>
  <si>
    <t>Campllong</t>
  </si>
  <si>
    <t>Camprodon</t>
  </si>
  <si>
    <t>Canet d'Adri</t>
  </si>
  <si>
    <t>Cantallops</t>
  </si>
  <si>
    <t>Capmany</t>
  </si>
  <si>
    <t>Cassà de la Selva</t>
  </si>
  <si>
    <t>Castellfollit de la Roca</t>
  </si>
  <si>
    <t>Castelló d'Empúries</t>
  </si>
  <si>
    <t>Castell-Platja d'Aro</t>
  </si>
  <si>
    <t>Cellera de Ter, la</t>
  </si>
  <si>
    <t>Celrà</t>
  </si>
  <si>
    <t>Cervià de Ter</t>
  </si>
  <si>
    <t>Cistella</t>
  </si>
  <si>
    <t>Colera</t>
  </si>
  <si>
    <t>Colomers</t>
  </si>
  <si>
    <t>Corçà</t>
  </si>
  <si>
    <t>Cornellà del Terri</t>
  </si>
  <si>
    <t>Crespià</t>
  </si>
  <si>
    <t>Cruïlles, Monells i Sant Sadurní de l'Heura</t>
  </si>
  <si>
    <t>Darnius</t>
  </si>
  <si>
    <t>Das</t>
  </si>
  <si>
    <t>Escala, l'</t>
  </si>
  <si>
    <t>Espinelves</t>
  </si>
  <si>
    <t>Espolla</t>
  </si>
  <si>
    <t>Esponellà</t>
  </si>
  <si>
    <t>Far d'Empordà, el</t>
  </si>
  <si>
    <t>Figueres</t>
  </si>
  <si>
    <t>Flaçà</t>
  </si>
  <si>
    <t>Foixà</t>
  </si>
  <si>
    <t>Fontanals de Cerdanya</t>
  </si>
  <si>
    <t>Fontanilles</t>
  </si>
  <si>
    <t>Fontcoberta</t>
  </si>
  <si>
    <t>Forallac</t>
  </si>
  <si>
    <t>Fornells de la Selva</t>
  </si>
  <si>
    <t>Fortià</t>
  </si>
  <si>
    <t>Garrigàs</t>
  </si>
  <si>
    <t>Garrigoles</t>
  </si>
  <si>
    <t>Garriguella</t>
  </si>
  <si>
    <t>Ger</t>
  </si>
  <si>
    <t>Girona</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</si>
  <si>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</si>
  <si>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</si>
  <si>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</si>
  <si>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</si>
  <si>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</si>
  <si>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</si>
  <si>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</si>
  <si>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</si>
  <si>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</si>
  <si>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</si>
  <si>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</si>
  <si>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</si>
  <si>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</si>
  <si>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</si>
  <si>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</si>
  <si>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</si>
  <si>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</si>
  <si>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Maçanet de Cabrenys</t>
  </si>
  <si>
    <t>Maçanet de la Selva</t>
  </si>
  <si>
    <t>Madremanya</t>
  </si>
  <si>
    <t>Maià de Montcal</t>
  </si>
  <si>
    <t>Masarac</t>
  </si>
  <si>
    <t>Massanes</t>
  </si>
  <si>
    <t>Meranges</t>
  </si>
  <si>
    <t>Mieres</t>
  </si>
  <si>
    <t>Mollet de Peralada</t>
  </si>
  <si>
    <t>Molló</t>
  </si>
  <si>
    <t>Montagut i Oix</t>
  </si>
  <si>
    <t>Mont-ras</t>
  </si>
  <si>
    <t>Navata</t>
  </si>
  <si>
    <t>Ogassa</t>
  </si>
  <si>
    <t>Olot</t>
  </si>
  <si>
    <t>Ordis</t>
  </si>
  <si>
    <t>Osor</t>
  </si>
  <si>
    <t>Palafrugell</t>
  </si>
  <si>
    <t>Palamós</t>
  </si>
  <si>
    <t>Palau de Santa Eulàlia</t>
  </si>
  <si>
    <t>Palau-sator</t>
  </si>
  <si>
    <t>Palau-saverdera</t>
  </si>
  <si>
    <t>Palol de Revardit</t>
  </si>
  <si>
    <t>Pals</t>
  </si>
  <si>
    <t>Pardines</t>
  </si>
  <si>
    <t>Parlavà</t>
  </si>
  <si>
    <t>Pau</t>
  </si>
  <si>
    <t>Pedret i Marzà</t>
  </si>
  <si>
    <t>Pera, la</t>
  </si>
  <si>
    <t>Peralada</t>
  </si>
  <si>
    <t>Planes d'Hostoles, les</t>
  </si>
  <si>
    <t>Planoles</t>
  </si>
  <si>
    <t>Pont de Molins</t>
  </si>
  <si>
    <t>Pontós</t>
  </si>
  <si>
    <t>Porqueres</t>
  </si>
  <si>
    <t>Port de la Selva, el</t>
  </si>
  <si>
    <t>Portbou</t>
  </si>
  <si>
    <t>Preses, les</t>
  </si>
  <si>
    <t>Puigcerdà</t>
  </si>
  <si>
    <t>Quart</t>
  </si>
  <si>
    <t>Queralbs</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</si>
  <si>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</si>
  <si>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</si>
  <si>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</si>
  <si>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</si>
  <si>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</si>
  <si>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</si>
  <si>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</si>
  <si>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</si>
  <si>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</si>
  <si>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</si>
  <si>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</si>
  <si>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</si>
  <si>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</si>
  <si>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</si>
  <si>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Aniol de Finestres</t>
  </si>
  <si>
    <t>Sant Climent Sescebes</t>
  </si>
  <si>
    <t>Sant Feliu de Buixalleu</t>
  </si>
  <si>
    <t>Sant Feliu de Guíxols</t>
  </si>
  <si>
    <t>Sant Feliu de Pallerols</t>
  </si>
  <si>
    <t>Sant Ferriol</t>
  </si>
  <si>
    <t>Sant Gregori</t>
  </si>
  <si>
    <t>Sant Hilari Sacalm</t>
  </si>
  <si>
    <t>Sant Jaume de Llierca</t>
  </si>
  <si>
    <t>Sant Joan de les Abadesses</t>
  </si>
  <si>
    <t>Sant Joan de Mollet</t>
  </si>
  <si>
    <t>Sant Joan les Fonts</t>
  </si>
  <si>
    <t>Sant Jordi Desvalls</t>
  </si>
  <si>
    <t>Sant Julià de Ramis</t>
  </si>
  <si>
    <t>Sant Julià del Llor i Bonmatí</t>
  </si>
  <si>
    <t>Sant Llorenç de la Muga</t>
  </si>
  <si>
    <t>Sant Martí de Llémena</t>
  </si>
  <si>
    <t>Sant Martí Vell</t>
  </si>
  <si>
    <t>Sant Miquel de Campmajor</t>
  </si>
  <si>
    <t>Sant Miquel de Fluvià</t>
  </si>
  <si>
    <t>Sant Mori</t>
  </si>
  <si>
    <t>Sant Pau de Seguries</t>
  </si>
  <si>
    <t>Sant Pere Pescador</t>
  </si>
  <si>
    <t>Santa Coloma de Farners</t>
  </si>
  <si>
    <t>Santa Cristina d'Aro</t>
  </si>
  <si>
    <t>Santa Llogaia d'Àlguema</t>
  </si>
  <si>
    <t>Santa Pau</t>
  </si>
  <si>
    <t>Sarrià de Ter</t>
  </si>
  <si>
    <t>Saus</t>
  </si>
  <si>
    <t>Selva de Mar, la</t>
  </si>
  <si>
    <t>Serinyà</t>
  </si>
  <si>
    <t>Serra de Daró</t>
  </si>
  <si>
    <t>Setcases</t>
  </si>
  <si>
    <t>Sils</t>
  </si>
  <si>
    <t>Siurana</t>
  </si>
  <si>
    <t>Susqueda</t>
  </si>
  <si>
    <t>Tallada d'Empordà, la</t>
  </si>
  <si>
    <t>Terrades</t>
  </si>
  <si>
    <t>Torrent</t>
  </si>
  <si>
    <t>Torroella de Fluvià</t>
  </si>
  <si>
    <t>Torroella de Montgrí</t>
  </si>
  <si>
    <t>Tortellà</t>
  </si>
  <si>
    <t>Toses</t>
  </si>
  <si>
    <t>Tossa de Mar</t>
  </si>
  <si>
    <t>Ullà</t>
  </si>
  <si>
    <t>Ullastret</t>
  </si>
  <si>
    <t>Ultramort</t>
  </si>
  <si>
    <t>Urús</t>
  </si>
  <si>
    <t>Vajol, la</t>
  </si>
  <si>
    <t>Vall de Bianya, la</t>
  </si>
  <si>
    <t>Vall d'en Bas, la</t>
  </si>
  <si>
    <t>Vallfogona de Ripollès</t>
  </si>
  <si>
    <t>Vall-llobrega</t>
  </si>
  <si>
    <t>Ventalló</t>
  </si>
  <si>
    <t>Verges</t>
  </si>
  <si>
    <t>Vidrà</t>
  </si>
  <si>
    <t>Vidreres</t>
  </si>
  <si>
    <t>Vilabertran</t>
  </si>
  <si>
    <t>Vilablareix</t>
  </si>
  <si>
    <t>Viladamat</t>
  </si>
  <si>
    <t>Viladasens</t>
  </si>
  <si>
    <t>Vilademuls</t>
  </si>
  <si>
    <t>Viladrau</t>
  </si>
  <si>
    <t>Vilafant</t>
  </si>
  <si>
    <t>Vilajuïga</t>
  </si>
  <si>
    <t>Vilallonga de Ter</t>
  </si>
  <si>
    <t>Vilamacolum</t>
  </si>
  <si>
    <t>Vilamalla</t>
  </si>
  <si>
    <t>Vilamaniscle</t>
  </si>
  <si>
    <t>Vilanant</t>
  </si>
  <si>
    <t>Vila-sacra</t>
  </si>
  <si>
    <t>Vilaür</t>
  </si>
  <si>
    <t>Vilobí d'Onyar</t>
  </si>
  <si>
    <t>Vilopriu</t>
  </si>
  <si>
    <t>Aiguamúrcia</t>
  </si>
  <si>
    <t>Albinyana</t>
  </si>
  <si>
    <t>Albiol, l'</t>
  </si>
  <si>
    <t>Alcanar</t>
  </si>
  <si>
    <t>Alcover</t>
  </si>
  <si>
    <t>Aldea, l'</t>
  </si>
  <si>
    <t>Aldover</t>
  </si>
  <si>
    <t>Aleixar, l'</t>
  </si>
  <si>
    <t>Alfara de Carles</t>
  </si>
  <si>
    <t>Alforja</t>
  </si>
  <si>
    <t>Alió</t>
  </si>
  <si>
    <t>Almoster</t>
  </si>
  <si>
    <t>Altafulla</t>
  </si>
  <si>
    <t>Ametlla de Mar, l'</t>
  </si>
  <si>
    <t>Ampolla, l'</t>
  </si>
  <si>
    <t>Amposta</t>
  </si>
  <si>
    <t>Arboç, l'</t>
  </si>
  <si>
    <t>Arbolí</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</si>
  <si>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</si>
  <si>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</si>
  <si>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</si>
  <si>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</si>
  <si>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</si>
  <si>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</si>
  <si>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</si>
  <si>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</si>
  <si>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</si>
  <si>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</si>
  <si>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</si>
  <si>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</si>
  <si>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</si>
  <si>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</si>
  <si>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</si>
  <si>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</si>
  <si>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</si>
  <si>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</si>
  <si>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</si>
  <si>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</si>
  <si>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</si>
  <si>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Camarles</t>
  </si>
  <si>
    <t>Cambrils</t>
  </si>
  <si>
    <t>Canonja, la</t>
  </si>
  <si>
    <t>Capafonts</t>
  </si>
  <si>
    <t>Capçanes</t>
  </si>
  <si>
    <t>Caseres</t>
  </si>
  <si>
    <t>Castellvell del Camp</t>
  </si>
  <si>
    <t>Catllar, el</t>
  </si>
  <si>
    <t>Colldejou</t>
  </si>
  <si>
    <t>Conesa</t>
  </si>
  <si>
    <t>Constantí</t>
  </si>
  <si>
    <t>Corbera d'Ebre</t>
  </si>
  <si>
    <t>Cornudella de Montsant</t>
  </si>
  <si>
    <t>Creixell</t>
  </si>
  <si>
    <t>Cunit</t>
  </si>
  <si>
    <t>Deltebre</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</si>
  <si>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</si>
  <si>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</si>
  <si>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</si>
  <si>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</si>
  <si>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</si>
  <si>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</si>
  <si>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</si>
  <si>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</si>
  <si>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</si>
  <si>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</si>
  <si>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</si>
  <si>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</si>
  <si>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</si>
  <si>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</si>
  <si>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</si>
  <si>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</si>
  <si>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</si>
  <si>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</si>
  <si>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</si>
  <si>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</si>
  <si>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</si>
  <si>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</si>
  <si>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Marçà</t>
  </si>
  <si>
    <t>Margalef</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</si>
  <si>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</si>
  <si>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</si>
  <si>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</si>
  <si>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</si>
  <si>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</si>
  <si>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</si>
  <si>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</si>
  <si>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</si>
  <si>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</si>
  <si>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</si>
  <si>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</si>
  <si>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</si>
  <si>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</si>
  <si>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</si>
  <si>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</si>
  <si>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</si>
  <si>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</si>
  <si>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</si>
  <si>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</si>
  <si>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</si>
  <si>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</si>
  <si>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Pallaresos, els</t>
  </si>
  <si>
    <t>Palma d'Ebre, la</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</si>
  <si>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</si>
  <si>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</si>
  <si>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</si>
  <si>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</si>
  <si>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</si>
  <si>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</si>
  <si>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</si>
  <si>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</si>
  <si>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</si>
  <si>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</si>
  <si>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</si>
  <si>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</si>
  <si>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</si>
  <si>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Pontils</t>
  </si>
  <si>
    <t>Porrera</t>
  </si>
  <si>
    <t>Pradell de la Teixeta</t>
  </si>
  <si>
    <t>Prades</t>
  </si>
  <si>
    <t>Prat de Comte</t>
  </si>
  <si>
    <t>Pratdip</t>
  </si>
  <si>
    <t>Puigpelat</t>
  </si>
  <si>
    <t>Querol</t>
  </si>
  <si>
    <t>Rasquera</t>
  </si>
  <si>
    <t>Renau</t>
  </si>
  <si>
    <t>Reus</t>
  </si>
  <si>
    <t>Riba, la</t>
  </si>
  <si>
    <t>Riba-roja d'Ebre</t>
  </si>
  <si>
    <t>Riera de Gaià, la</t>
  </si>
  <si>
    <t>Riudecanyes</t>
  </si>
  <si>
    <t>Riudecols</t>
  </si>
  <si>
    <t>Riudoms</t>
  </si>
  <si>
    <t>Rocafort de Queralt</t>
  </si>
  <si>
    <t>Roda de Berà</t>
  </si>
  <si>
    <t>Rodonyà</t>
  </si>
  <si>
    <t>Roquetes</t>
  </si>
  <si>
    <t>Rourell, el</t>
  </si>
  <si>
    <t>Salomó</t>
  </si>
  <si>
    <t>Salou</t>
  </si>
  <si>
    <t>Sant Carles de la Ràpita</t>
  </si>
  <si>
    <t>Sant Jaume dels Domenys</t>
  </si>
  <si>
    <t>Sant Jaume d'Enveja</t>
  </si>
  <si>
    <t>Santa Bàrbara</t>
  </si>
  <si>
    <t>Santa Coloma de Queralt</t>
  </si>
  <si>
    <t>Santa Oliva</t>
  </si>
  <si>
    <t>Sarral</t>
  </si>
  <si>
    <t>Savallà del Comtat</t>
  </si>
  <si>
    <t>Secuita, la</t>
  </si>
  <si>
    <t>Selva del Camp, la</t>
  </si>
  <si>
    <t>Senan</t>
  </si>
  <si>
    <t>Sénia, la</t>
  </si>
  <si>
    <t>Solivella</t>
  </si>
  <si>
    <t>Tarragona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</si>
  <si>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</si>
  <si>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</si>
  <si>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</si>
  <si>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</si>
  <si>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</si>
  <si>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</si>
  <si>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</si>
  <si>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</si>
  <si>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</si>
  <si>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</si>
  <si>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</si>
  <si>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</si>
  <si>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</si>
  <si>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Vandellòs i l'Hospitalet de l'Infant</t>
  </si>
  <si>
    <t>Vendrell, el</t>
  </si>
  <si>
    <t>Vespella de Gaià</t>
  </si>
  <si>
    <t>Vilabella</t>
  </si>
  <si>
    <t>Vilalba dels Arcs</t>
  </si>
  <si>
    <t>Vilallonga del Camp</t>
  </si>
  <si>
    <t>Vilanova de Prades</t>
  </si>
  <si>
    <t>Vilanova d'Escornalbou</t>
  </si>
  <si>
    <t>Vilaplana</t>
  </si>
  <si>
    <t>Vila-rodona</t>
  </si>
  <si>
    <t>Vila-seca</t>
  </si>
  <si>
    <t>Vilaverd</t>
  </si>
  <si>
    <t>Vilella Alta, la</t>
  </si>
  <si>
    <t>Vilella Baixa, la</t>
  </si>
  <si>
    <t>Vimbodí i Poblet</t>
  </si>
  <si>
    <t>Vinebre</t>
  </si>
  <si>
    <t>Vinyols i els Arcs</t>
  </si>
  <si>
    <t>Xerta</t>
  </si>
  <si>
    <r>
      <t xml:space="preserve">Indicar, si s'escau, la potència mínima que volem requerir que una instal·lació fotovoltaica tingui per poder accedir a la bonificació del IBI
</t>
    </r>
    <r>
      <rPr>
        <sz val="8"/>
        <color theme="1"/>
        <rFont val="Calibri"/>
        <family val="2"/>
        <scheme val="minor"/>
      </rPr>
      <t>(El càlcul del nombre d'instal·lacions bonificades es fa comparant el valor amb el de la cel·la C8 i s'extreu el percentatge relatiu d'aquelles instal·lacions que no tenen prou potència)</t>
    </r>
  </si>
  <si>
    <r>
      <t xml:space="preserve">Entenem que si la bonificació no s'aplica de manera automàtica a les noves instal·lacions, i per tant cal que l'usuari faci la petició, és possible que en alguns casos s'oblidi de tramitar la sol·licitud. </t>
    </r>
    <r>
      <rPr>
        <b/>
        <sz val="9"/>
        <color theme="1"/>
        <rFont val="Calibri"/>
        <family val="2"/>
        <scheme val="minor"/>
      </rPr>
      <t>Indicar el percentatge de casos en que es faria la petició, en cas de no activar-se de manera automàtica</t>
    </r>
    <r>
      <rPr>
        <sz val="9"/>
        <color theme="1"/>
        <rFont val="Calibri"/>
        <family val="2"/>
        <scheme val="minor"/>
      </rPr>
      <t xml:space="preserve"> (escriure només el número)</t>
    </r>
  </si>
  <si>
    <r>
      <t xml:space="preserve">INFORMATIU: Cost aproximat d'una instal·lació </t>
    </r>
    <r>
      <rPr>
        <sz val="12"/>
        <color theme="1"/>
        <rFont val="Calibri"/>
        <family val="2"/>
        <scheme val="minor"/>
      </rPr>
      <t>(segons la potència seleccionada)</t>
    </r>
  </si>
  <si>
    <t>INFORMATIU: Cost total aproximat de les properes noves instal·lacions</t>
  </si>
  <si>
    <r>
      <t xml:space="preserve">Topall màxim bonificable </t>
    </r>
    <r>
      <rPr>
        <sz val="11"/>
        <color theme="1"/>
        <rFont val="Calibri"/>
        <family val="2"/>
        <scheme val="minor"/>
      </rPr>
      <t>(€ màx)</t>
    </r>
  </si>
  <si>
    <r>
      <t xml:space="preserve">Topall màxim bonificable </t>
    </r>
    <r>
      <rPr>
        <sz val="10"/>
        <color theme="1"/>
        <rFont val="Calibri"/>
        <family val="2"/>
        <scheme val="minor"/>
      </rPr>
      <t>(% del cost de la instal·lació)</t>
    </r>
  </si>
  <si>
    <t>Topall resultant</t>
  </si>
  <si>
    <r>
      <t xml:space="preserve">Indicar, si s'escau, el valor màxim que serà bonificable, essent aquest un </t>
    </r>
    <r>
      <rPr>
        <b/>
        <sz val="9"/>
        <color theme="1"/>
        <rFont val="Calibri"/>
        <family val="2"/>
        <scheme val="minor"/>
      </rPr>
      <t>percentatge del que costa la instal·lació</t>
    </r>
  </si>
  <si>
    <r>
      <rPr>
        <b/>
        <sz val="11"/>
        <color theme="1"/>
        <rFont val="Calibri"/>
        <family val="2"/>
        <scheme val="minor"/>
      </rPr>
      <t>TOPALL €</t>
    </r>
    <r>
      <rPr>
        <sz val="9"/>
        <color theme="1"/>
        <rFont val="Calibri"/>
        <family val="2"/>
        <scheme val="minor"/>
      </rPr>
      <t>: En cas que es vulgui ampliar o reduir el topall màxim de bonificació del IBI, indicar "Si" i introduir el valor a la casella a l'esquerra d'aquesta (les unitats s'introdueixen soles)</t>
    </r>
  </si>
  <si>
    <r>
      <rPr>
        <b/>
        <sz val="11"/>
        <color theme="1"/>
        <rFont val="Calibri"/>
        <family val="2"/>
        <scheme val="minor"/>
      </rPr>
      <t>TOPALL % del cost</t>
    </r>
    <r>
      <rPr>
        <sz val="9"/>
        <color theme="1"/>
        <rFont val="Calibri"/>
        <family val="2"/>
        <scheme val="minor"/>
      </rPr>
      <t>: En cas que es vulgui ampliar o reduir el topall màxim de bonificació del IBI, indicar "Si" i introduir el valor a la casella a l'esquerra d'aquesta (les unitats s'introdueixen soles)</t>
    </r>
  </si>
  <si>
    <t>CO2 emès per cada kWh d'electricitat provinent de la xarxa</t>
  </si>
  <si>
    <t>Generació d'electricitat mitjana anual d'una instal·lació solar</t>
  </si>
  <si>
    <t>Estalvi de CO2 que genera la instal·lació fotovoltaica</t>
  </si>
  <si>
    <t>Estalvi econòmic que proporciona la instal·lació anualment</t>
  </si>
  <si>
    <t>Estalvi aconseguit al cap de 25 anys</t>
  </si>
  <si>
    <t>Recuperació de la inversió simple</t>
  </si>
  <si>
    <t>Recuperació de la inversió tenint en compte la bonificació del IBI</t>
  </si>
  <si>
    <t>Valor</t>
  </si>
  <si>
    <t>Font</t>
  </si>
  <si>
    <t>https://gdo.cnmc.es/CNE/resumenGdo.do?anio=2019</t>
  </si>
  <si>
    <t>https://www.ree.es/sites/default/files/11_PUBLICACIONES/Documentos/InformesSistemaElectrico/2019/inf_sis_elec_ree_2019_v2.pdf</t>
  </si>
  <si>
    <t>Cost aproximat del kWh comprat de la xarxa (Impostos Inclosos)</t>
  </si>
  <si>
    <t>http://icaen.gencat.cat/web/.content/10_ICAEN/17_publicacions_informes/09_fons_documental/02_estudis_monografics/arxius/monografic12.pdf</t>
  </si>
  <si>
    <r>
      <t xml:space="preserve">COPIAR AQUÍ EL RESULTAT OBTINGUT A LA COLUMNA C
</t>
    </r>
    <r>
      <rPr>
        <sz val="14"/>
        <color theme="1"/>
        <rFont val="Calibri"/>
        <family val="2"/>
        <scheme val="minor"/>
      </rPr>
      <t>(Impacte total estimat de la bonificació)</t>
    </r>
  </si>
  <si>
    <r>
      <t xml:space="preserve">COPIAR AQUÍ EL RESULTAT OBTINGUT A LA COLUMNA E
</t>
    </r>
    <r>
      <rPr>
        <sz val="14"/>
        <color theme="1"/>
        <rFont val="Calibri"/>
        <family val="2"/>
        <scheme val="minor"/>
      </rPr>
      <t>(Durada de la Bonificació)</t>
    </r>
  </si>
  <si>
    <t>Impacte de la Bonificació de l'IBI per Autoconsum</t>
  </si>
  <si>
    <r>
      <t xml:space="preserve">La bonificació serà diferent per instal·lacions compartides respecte individuals?
</t>
    </r>
    <r>
      <rPr>
        <sz val="9"/>
        <color theme="1"/>
        <rFont val="Calibri"/>
        <family val="2"/>
        <scheme val="minor"/>
      </rPr>
      <t>En cas que no, s'entén que la bonificació serà igual per tot tipus d'instal·lacions. En cas que si, s'especificaran les condicions per instal·lacions compartides.</t>
    </r>
  </si>
  <si>
    <t>C1</t>
  </si>
  <si>
    <t>C2</t>
  </si>
  <si>
    <t>C3</t>
  </si>
  <si>
    <t>C4</t>
  </si>
  <si>
    <t>C5</t>
  </si>
  <si>
    <t>C6</t>
  </si>
  <si>
    <t>C7</t>
  </si>
  <si>
    <r>
      <t xml:space="preserve">Valor estimat IBI </t>
    </r>
    <r>
      <rPr>
        <b/>
        <sz val="10"/>
        <color theme="1"/>
        <rFont val="Calibri"/>
        <family val="2"/>
        <scheme val="minor"/>
      </rPr>
      <t>(automàtic escollint el municipi
Es pot introduir un valor manual també)</t>
    </r>
  </si>
  <si>
    <r>
      <t xml:space="preserve">Introduir un valor estimat. En aquest cas, estaríem parlant d'instal·lacions que pretenen cobrir els </t>
    </r>
    <r>
      <rPr>
        <b/>
        <sz val="9"/>
        <color theme="1"/>
        <rFont val="Calibri"/>
        <family val="2"/>
        <scheme val="minor"/>
      </rPr>
      <t>consums dels elements comuns d'una comunitat de veïns</t>
    </r>
    <r>
      <rPr>
        <sz val="9"/>
        <color theme="1"/>
        <rFont val="Calibri"/>
        <family val="2"/>
        <scheme val="minor"/>
      </rPr>
      <t>, com ho poden ser l'escala, ascensors o un pàrking. En aquests casos es cobreixen uns consums comunitaris, malgrat la instal·lació és de titularitat individual</t>
    </r>
  </si>
  <si>
    <t>Informe de Resultats</t>
  </si>
  <si>
    <t>Introduir codi del criteri</t>
  </si>
  <si>
    <t>Criteris Generals</t>
  </si>
  <si>
    <t>Criteris Específics per Instal·lacions Col·lectives</t>
  </si>
  <si>
    <t>Criteris Específics segons el tipus de família</t>
  </si>
  <si>
    <t>Balanç econòmic</t>
  </si>
  <si>
    <t>Copiar el resultat de la columna "C" de la pestanya "Resultats" de l'escenari corresponent</t>
  </si>
  <si>
    <t>Copiar el resultat de la columna "D" de la pestanya "Resultats" de l'escenari corresponent</t>
  </si>
  <si>
    <t>Copiar el resultat de la columna "E" de la pestanya "Resultats" de l'escenari corresponent</t>
  </si>
  <si>
    <t>Col·lectiu/s als quals van adreçades les mesures:</t>
  </si>
  <si>
    <t>S'estima que els criteris afectaran a un nombre d'instal·lacions aproximat de:</t>
  </si>
  <si>
    <t>En total s'ha estimat que hi haurà un volum de noves instal·lacions fotovoltaiques de:</t>
  </si>
  <si>
    <r>
      <rPr>
        <b/>
        <sz val="9"/>
        <color theme="1"/>
        <rFont val="Calibri"/>
        <family val="2"/>
        <scheme val="minor"/>
      </rPr>
      <t>VALORS AUTOMÀTICS</t>
    </r>
    <r>
      <rPr>
        <sz val="9"/>
        <color theme="1"/>
        <rFont val="Calibri"/>
        <family val="2"/>
        <scheme val="minor"/>
      </rPr>
      <t>. Es pren com a valor aproximat el cost de
2 € per Wp (Watt pic) de Fotovoltaica instal·lada. Calculat segons el nombre d'instal·lacions que s'han estimat i la potència mitjana d'aquestes (valors introduïts en les files superiors)</t>
    </r>
  </si>
  <si>
    <r>
      <t xml:space="preserve">Nº d'immobles que té el municipi </t>
    </r>
    <r>
      <rPr>
        <b/>
        <sz val="10"/>
        <color theme="1"/>
        <rFont val="Calibri"/>
        <family val="2"/>
        <scheme val="minor"/>
      </rPr>
      <t>(automàtic escollint el municipi o bé es pot introduir un valor manual també)</t>
    </r>
  </si>
  <si>
    <r>
      <t>Introduir un valor estimat. Una instal·lació d'</t>
    </r>
    <r>
      <rPr>
        <b/>
        <sz val="9"/>
        <color theme="1"/>
        <rFont val="Calibri"/>
        <family val="2"/>
        <scheme val="minor"/>
      </rPr>
      <t>Autoconsum Compartit</t>
    </r>
    <r>
      <rPr>
        <sz val="9"/>
        <color theme="1"/>
        <rFont val="Calibri"/>
        <family val="2"/>
        <scheme val="minor"/>
      </rPr>
      <t xml:space="preserve"> serà aquella en que</t>
    </r>
    <r>
      <rPr>
        <b/>
        <sz val="9"/>
        <color theme="1"/>
        <rFont val="Calibri"/>
        <family val="2"/>
        <scheme val="minor"/>
      </rPr>
      <t xml:space="preserve"> l'energia generada serà repartida entre els diferents subministraments que figuren com a participants</t>
    </r>
    <r>
      <rPr>
        <sz val="9"/>
        <color theme="1"/>
        <rFont val="Calibri"/>
        <family val="2"/>
        <scheme val="minor"/>
      </rPr>
      <t xml:space="preserve"> de la instal·lació. Pot donar-se el cas que tots els participants visquin al mateix immoble o no, mentre el seu punt de subministrament estigui a menys de 500 metres de la instal·lació fotovoltaica. Aquest valor serveix per estimar l'impacte de les bonificacions en cas que s'apliquin criteris específics per instal·lacions col·lectives</t>
    </r>
  </si>
  <si>
    <t>Després d'haver avaluat diferents criteris i haver comparat l'impacte econòmic que aquests tindran durant els propers anys, es planteja bonificar la quota de l'IBI a tots aquells immobles que duguin a terme una instal·lació d'autoconsum d'energia fotovoltaica, ja sigui a títol individual o col·lectiu. Els criteris escollits són els següents:</t>
  </si>
  <si>
    <t>Província</t>
  </si>
  <si>
    <t>Amb el suport tècnic d':</t>
  </si>
  <si>
    <t>Inclou dades dels municipis de les províncies de Barcelona, Girona i Tarragona</t>
  </si>
  <si>
    <r>
      <t xml:space="preserve">A través d'aquesta eina en format full de càlcul un ens local podrà determinar l'impacte econòmic que pot tenir la bonificació a l'IBI que apliqui al seu municipi o àmbit territorial en qüestió, per a totes aquelles noves instal·lacions d'autoconsum fotovoltaic d'energia. L'ens local pot definir els diferents criteris a aplicar, i en base a un import mitjà i un nombre de instal·lacions que determinem, obtindrà diferents escenaris a la pestanya de </t>
    </r>
    <r>
      <rPr>
        <i/>
        <sz val="11"/>
        <color theme="1"/>
        <rFont val="Calibri"/>
        <family val="2"/>
        <scheme val="minor"/>
      </rPr>
      <t>Resultats</t>
    </r>
    <r>
      <rPr>
        <sz val="11"/>
        <color theme="1"/>
        <rFont val="Calibri"/>
        <family val="2"/>
        <scheme val="minor"/>
      </rPr>
      <t>. Els escenaris resultants poden ajudar a definir la ordenança que es derivi de la voluntat d'aplicar aquesta bonificació a nivell municipal, impulsant així el canvi cap a un model energètic més just, descentralitzat i sostenible amb el medi ambient.</t>
    </r>
  </si>
  <si>
    <r>
      <t>A la pestanya d'</t>
    </r>
    <r>
      <rPr>
        <i/>
        <sz val="11"/>
        <color theme="1"/>
        <rFont val="Calibri"/>
        <family val="2"/>
        <scheme val="minor"/>
      </rPr>
      <t>Informació</t>
    </r>
    <r>
      <rPr>
        <sz val="11"/>
        <color theme="1"/>
        <rFont val="Calibri"/>
        <family val="2"/>
        <scheme val="minor"/>
      </rPr>
      <t xml:space="preserve">, cal introduir les dades que es demanen a les caselles amb el fons de color </t>
    </r>
    <r>
      <rPr>
        <b/>
        <sz val="11"/>
        <color rgb="FF00B050"/>
        <rFont val="Calibri"/>
        <family val="2"/>
        <scheme val="minor"/>
      </rPr>
      <t>verd</t>
    </r>
    <r>
      <rPr>
        <b/>
        <sz val="11"/>
        <color theme="1"/>
        <rFont val="Calibri"/>
        <family val="2"/>
        <scheme val="minor"/>
      </rPr>
      <t xml:space="preserve">. </t>
    </r>
    <r>
      <rPr>
        <sz val="11"/>
        <color theme="1"/>
        <rFont val="Calibri"/>
        <family val="2"/>
        <scheme val="minor"/>
      </rPr>
      <t>Només</t>
    </r>
    <r>
      <rPr>
        <b/>
        <sz val="11"/>
        <color theme="1"/>
        <rFont val="Calibri"/>
        <family val="2"/>
        <scheme val="minor"/>
      </rPr>
      <t xml:space="preserve"> </t>
    </r>
    <r>
      <rPr>
        <sz val="11"/>
        <color theme="1"/>
        <rFont val="Calibri"/>
        <family val="2"/>
        <scheme val="minor"/>
      </rPr>
      <t xml:space="preserve">cal introduir els valors, ja que les unitats ja venen donades automàticament. Algunes de les cel·les contenen una llista desplegable que permet triar entre una de les opcions disponibles. Les cel·les de color </t>
    </r>
    <r>
      <rPr>
        <b/>
        <sz val="11"/>
        <color theme="9" tint="-0.249977111117893"/>
        <rFont val="Calibri"/>
        <family val="2"/>
        <scheme val="minor"/>
      </rPr>
      <t>taronja</t>
    </r>
    <r>
      <rPr>
        <sz val="11"/>
        <color theme="1"/>
        <rFont val="Calibri"/>
        <family val="2"/>
        <scheme val="minor"/>
      </rPr>
      <t xml:space="preserve"> indiquen el concepte sobre el qual s'està aportant un valor, i les cel·les de color </t>
    </r>
    <r>
      <rPr>
        <b/>
        <sz val="11"/>
        <color theme="1"/>
        <rFont val="Calibri"/>
        <family val="2"/>
        <scheme val="minor"/>
      </rPr>
      <t>gris</t>
    </r>
    <r>
      <rPr>
        <sz val="11"/>
        <color theme="1"/>
        <rFont val="Calibri"/>
        <family val="2"/>
        <scheme val="minor"/>
      </rPr>
      <t xml:space="preserve"> aporten informació o comentaris que fan referència a les cel·les contingudes en la mateixa fila.
Algunes cel·les permeten desbloquejar el contingut d'altres i seguir omplint més opcions, en cas que s'escaigui.
Un cop omplertes les dades en l'apartat d'informació, es pot visualitzar l'escenari a la pestanya de </t>
    </r>
    <r>
      <rPr>
        <b/>
        <i/>
        <sz val="11"/>
        <color theme="1"/>
        <rFont val="Calibri"/>
        <family val="2"/>
        <scheme val="minor"/>
      </rPr>
      <t>Resultats</t>
    </r>
    <r>
      <rPr>
        <sz val="11"/>
        <color theme="1"/>
        <rFont val="Calibri"/>
        <family val="2"/>
        <scheme val="minor"/>
      </rPr>
      <t xml:space="preserve">, que apareix marcat en color </t>
    </r>
    <r>
      <rPr>
        <b/>
        <sz val="11"/>
        <color rgb="FF00B050"/>
        <rFont val="Calibri"/>
        <family val="2"/>
        <scheme val="minor"/>
      </rPr>
      <t>verd</t>
    </r>
    <r>
      <rPr>
        <sz val="11"/>
        <color theme="1"/>
        <rFont val="Calibri"/>
        <family val="2"/>
        <scheme val="minor"/>
      </rPr>
      <t xml:space="preserve">, i comparar-lo amb altres escenaris, que apareixen marcats de color </t>
    </r>
    <r>
      <rPr>
        <b/>
        <sz val="11"/>
        <color theme="9" tint="-0.249977111117893"/>
        <rFont val="Calibri"/>
        <family val="2"/>
        <scheme val="minor"/>
      </rPr>
      <t>taronja</t>
    </r>
    <r>
      <rPr>
        <sz val="11"/>
        <color theme="1"/>
        <rFont val="Calibri"/>
        <family val="2"/>
        <scheme val="minor"/>
      </rPr>
      <t xml:space="preserve">.
</t>
    </r>
    <r>
      <rPr>
        <i/>
        <sz val="11"/>
        <color theme="1"/>
        <rFont val="Calibri"/>
        <family val="2"/>
        <scheme val="minor"/>
      </rPr>
      <t>NOTA: si en accedir a la pestanya de resultats veieu que no apareix algun valor  correctament, reviseu que hagueus introduït totes les dades necessàries i que aquestes estan ben introduïdes</t>
    </r>
  </si>
  <si>
    <t>Seleccioneu el municipi del qual voleu fer l'estimació de l'impacte que tindrà la bonificació de l'IBI a través de la llista desplegable. Un cop seleccionat un municipi s'omplen automàticament els valors d'IBI mitjà i el nº d'immobles del municipi</t>
  </si>
  <si>
    <t>Codi</t>
  </si>
  <si>
    <t>B1</t>
  </si>
  <si>
    <t>B2</t>
  </si>
  <si>
    <t>B3</t>
  </si>
  <si>
    <t>B4</t>
  </si>
  <si>
    <t>B5</t>
  </si>
  <si>
    <t>B6</t>
  </si>
  <si>
    <t>B7</t>
  </si>
  <si>
    <t>B8</t>
  </si>
  <si>
    <t>B9</t>
  </si>
  <si>
    <r>
      <rPr>
        <b/>
        <sz val="9"/>
        <color theme="1"/>
        <rFont val="Calibri"/>
        <family val="2"/>
        <scheme val="minor"/>
      </rPr>
      <t>VALOR AUTOMÀTIC</t>
    </r>
    <r>
      <rPr>
        <sz val="9"/>
        <color theme="1"/>
        <rFont val="Calibri"/>
        <family val="2"/>
        <scheme val="minor"/>
      </rPr>
      <t xml:space="preserve"> en seleccionar el municipi. Correspon al valor mitjà estimat de l'impost de Béns i Immobles anual per un immoble pertanyent al municipi.
Si disposeu de dades més actuals, podeu substituir el valor que apareix per aquell que disposeu en aquesta casella B2 o a la pestanya "Base de dades Municipis"
Per a més informació, es pot consultar a </t>
    </r>
    <r>
      <rPr>
        <b/>
        <sz val="9"/>
        <color theme="1"/>
        <rFont val="Calibri"/>
        <family val="2"/>
        <scheme val="minor"/>
      </rPr>
      <t>l'enllaç que apareix clicant a la cel·la</t>
    </r>
  </si>
  <si>
    <r>
      <rPr>
        <b/>
        <sz val="9"/>
        <color theme="1"/>
        <rFont val="Calibri"/>
        <family val="2"/>
        <scheme val="minor"/>
      </rPr>
      <t>VALOR AUTOMÀTIC</t>
    </r>
    <r>
      <rPr>
        <sz val="9"/>
        <color theme="1"/>
        <rFont val="Calibri"/>
        <family val="2"/>
        <scheme val="minor"/>
      </rPr>
      <t xml:space="preserve"> en seleccionar el municipi. Si disposeu de dades més actuals, podeu substituir el valor que apareix per aquell que disposeu en aquest casella B3 o a la pestanya "Base de dades Municipis"
Aquesta dada ens dóna una idea la recaptació total per IBI del municipi sense tenir en compte l'impacte de la bonificació</t>
    </r>
  </si>
  <si>
    <t>Codi*</t>
  </si>
  <si>
    <t>C8</t>
  </si>
  <si>
    <t>C9</t>
  </si>
  <si>
    <r>
      <t>Introduir un valor mitjà (en</t>
    </r>
    <r>
      <rPr>
        <b/>
        <sz val="9"/>
        <color theme="1"/>
        <rFont val="Calibri"/>
        <family val="2"/>
        <scheme val="minor"/>
      </rPr>
      <t xml:space="preserve"> kW</t>
    </r>
    <r>
      <rPr>
        <sz val="9"/>
        <color theme="1"/>
        <rFont val="Calibri"/>
        <family val="2"/>
        <scheme val="minor"/>
      </rPr>
      <t>) de la potència que creieu que tindran les instal·lacions fotovoltaiques que es bonificaran al vostre municipi. Si hi ha instal·lacions actuals conegudes, us poden servir com a base per estimar aquest valor.
Aquest valor permet estimar els costos de les instal·lacions i afecta en cas d'aplicar criteris que van lligats amb la potència de la instal·lació (Criteri C7)</t>
    </r>
  </si>
  <si>
    <r>
      <t>Introduir un valor estimat. Una instal·lació d'</t>
    </r>
    <r>
      <rPr>
        <b/>
        <sz val="9"/>
        <color theme="1"/>
        <rFont val="Calibri"/>
        <family val="2"/>
        <scheme val="minor"/>
      </rPr>
      <t>Autoconsum Individual</t>
    </r>
    <r>
      <rPr>
        <sz val="9"/>
        <color theme="1"/>
        <rFont val="Calibri"/>
        <family val="2"/>
        <scheme val="minor"/>
      </rPr>
      <t xml:space="preserve"> serà aquella que està connectada només a un </t>
    </r>
    <r>
      <rPr>
        <b/>
        <sz val="9"/>
        <color theme="1"/>
        <rFont val="Calibri"/>
        <family val="2"/>
        <scheme val="minor"/>
      </rPr>
      <t>únic subministrament</t>
    </r>
    <r>
      <rPr>
        <sz val="9"/>
        <color theme="1"/>
        <rFont val="Calibri"/>
        <family val="2"/>
        <scheme val="minor"/>
      </rPr>
      <t>. Pot ser que la instal·lació estigui connectada a xarxa i s'injectin els excedents d'energia, o pot donar-se el cas d'una instal·lació aïllada, que no estigui connectada a la xarxa de distribució.</t>
    </r>
  </si>
  <si>
    <t>Quantes instal·lacions d'Autoconsum INDIVIDUAL espereu que es desenvolupin en el proper any?</t>
  </si>
  <si>
    <t>Quantes instal·lacions d'Autoconsum COMPARTIT espereu que es desenvolupin en el proper any?</t>
  </si>
  <si>
    <t>Quantes instal·lacions d'Autoconsum PER A ELEMENTS COMUNS espereu que es desenvolupin en el proper any?</t>
  </si>
  <si>
    <t>CF1</t>
  </si>
  <si>
    <t>CF2</t>
  </si>
  <si>
    <t>CF3</t>
  </si>
  <si>
    <t>CAC1</t>
  </si>
  <si>
    <t>CAC2</t>
  </si>
  <si>
    <t>CAC3</t>
  </si>
  <si>
    <t>CAC4</t>
  </si>
  <si>
    <t>CAC5</t>
  </si>
  <si>
    <t>CAC6</t>
  </si>
  <si>
    <t>Escollir els criteris a sota
(Codis CF1, CF2, CF3)</t>
  </si>
  <si>
    <t>Escollir els criteris a sota
(Codis CAC1 a CAC6)</t>
  </si>
  <si>
    <t>Podeu afegir l'escut del vostre ens local</t>
  </si>
  <si>
    <r>
      <t xml:space="preserve">Notes Pròpies / Comentaris
</t>
    </r>
    <r>
      <rPr>
        <sz val="10"/>
        <color theme="1"/>
        <rFont val="Calibri"/>
        <family val="2"/>
        <scheme val="minor"/>
      </rPr>
      <t>Espai lliure per escriure el que volgueu</t>
    </r>
  </si>
  <si>
    <t>Versió 0.6 21/10/2020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</si>
</sst>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quot;_-;\-* #,##0.00\ &quot;€&quot;_-;_-* &quot;-&quot;??\ &quot;€&quot;_-;_-@_-"/>
    <numFmt numFmtId="164" formatCode="#,##0.00\ &quot;€&quot;"/>
    <numFmt numFmtId="165" formatCode="General&quot; anys&quot;"/>
    <numFmt numFmtId="166" formatCode="General\ \k\W"/>
    <numFmt numFmtId="167" formatCode="General\ &quot;%&quot;"/>
    <numFmt numFmtId="168" formatCode="General&quot; participants&quot;"/>
    <numFmt numFmtId="169" formatCode="General&quot; %&quot;"/>
    <numFmt numFmtId="170" formatCode="#,##0.0"/>
    <numFmt numFmtId="171" formatCode="#,##0\ &quot;€&quot;"/>
    <numFmt numFmtId="172" formatCode="General\ &quot;kgCO2/kWh&quot;"/>
    <numFmt numFmtId="173" formatCode="General\ &quot;kgCO2&quot;"/>
    <numFmt numFmtId="174" formatCode="#,##0.000\ &quot;€&quot;"/>
    <numFmt numFmtId="175" formatCode="General\ &quot;kWh&quot;"/>
  </numFmts>
  <fonts count="32"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rgb="FFFF0000"/>
      <name val="Calibri"/>
      <family val="2"/>
      <scheme val="minor"/>
    </font>
    <font>
      <sz val="9"/>
      <color theme="1"/>
      <name val="Calibri"/>
      <family val="2"/>
      <scheme val="minor"/>
    </font>
    <font>
      <u/>
      <sz val="11"/>
      <color theme="10"/>
      <name val="Calibri"/>
      <family val="2"/>
      <scheme val="minor"/>
    </font>
    <font>
      <b/>
      <sz val="9"/>
      <color theme="1"/>
      <name val="Calibri"/>
      <family val="2"/>
      <scheme val="minor"/>
    </font>
    <font>
      <sz val="11"/>
      <color theme="0" tint="-0.34998626667073579"/>
      <name val="Calibri"/>
      <family val="2"/>
      <scheme val="minor"/>
    </font>
    <font>
      <b/>
      <i/>
      <sz val="12"/>
      <color theme="0" tint="-0.34998626667073579"/>
      <name val="Calibri"/>
      <family val="2"/>
      <scheme val="minor"/>
    </font>
    <font>
      <b/>
      <sz val="12"/>
      <color theme="1"/>
      <name val="Calibri"/>
      <family val="2"/>
      <scheme val="minor"/>
    </font>
    <font>
      <i/>
      <sz val="11"/>
      <color theme="1"/>
      <name val="Calibri"/>
      <family val="2"/>
      <scheme val="minor"/>
    </font>
    <font>
      <sz val="11"/>
      <color theme="0" tint="-0.499984740745262"/>
      <name val="Calibri"/>
      <family val="2"/>
      <scheme val="minor"/>
    </font>
    <font>
      <sz val="10"/>
      <color theme="0" tint="-0.34998626667073579"/>
      <name val="Calibri"/>
      <family val="2"/>
      <scheme val="minor"/>
    </font>
    <font>
      <sz val="11"/>
      <color theme="1"/>
      <name val="Calibri"/>
      <family val="2"/>
      <scheme val="minor"/>
    </font>
    <font>
      <sz val="10"/>
      <color theme="1"/>
      <name val="Calibri"/>
      <family val="2"/>
      <scheme val="minor"/>
    </font>
    <font>
      <b/>
      <i/>
      <sz val="11"/>
      <color theme="0"/>
      <name val="Calibri"/>
      <family val="2"/>
      <scheme val="minor"/>
    </font>
    <font>
      <sz val="11"/>
      <color theme="0" tint="-0.249977111117893"/>
      <name val="Calibri"/>
      <family val="2"/>
      <scheme val="minor"/>
    </font>
    <font>
      <b/>
      <sz val="10"/>
      <color theme="1"/>
      <name val="Calibri"/>
      <family val="2"/>
      <scheme val="minor"/>
    </font>
    <font>
      <sz val="8"/>
      <color rgb="FF333333"/>
      <name val="Arial"/>
      <family val="2"/>
    </font>
    <font>
      <sz val="8"/>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1"/>
      <color theme="0" tint="-0.14999847407452621"/>
      <name val="Calibri"/>
      <family val="2"/>
      <scheme val="minor"/>
    </font>
    <font>
      <b/>
      <sz val="24"/>
      <color theme="1"/>
      <name val="Calibri"/>
      <family val="2"/>
      <scheme val="minor"/>
    </font>
    <font>
      <i/>
      <sz val="10"/>
      <color rgb="FFFF0000"/>
      <name val="Calibri"/>
      <family val="2"/>
      <scheme val="minor"/>
    </font>
    <font>
      <b/>
      <sz val="29"/>
      <color theme="1"/>
      <name val="Calibri"/>
      <family val="2"/>
      <scheme val="minor"/>
    </font>
    <font>
      <b/>
      <sz val="11"/>
      <color rgb="FF00B050"/>
      <name val="Calibri"/>
      <family val="2"/>
      <scheme val="minor"/>
    </font>
    <font>
      <b/>
      <sz val="11"/>
      <color theme="9" tint="-0.249977111117893"/>
      <name val="Calibri"/>
      <family val="2"/>
      <scheme val="minor"/>
    </font>
    <font>
      <b/>
      <i/>
      <sz val="11"/>
      <color theme="1"/>
      <name val="Calibri"/>
      <family val="2"/>
      <scheme val="minor"/>
    </font>
    <font>
      <sz val="10"/>
      <color indexed="81"/>
      <name val="Tahoma"/>
      <family val="2"/>
    </font>
  </fonts>
  <fills count="2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indexed="64"/>
      </patternFill>
    </fill>
    <fill>
      <patternFill patternType="solid">
        <fgColor theme="6"/>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DDDDDD"/>
        <bgColor indexed="64"/>
      </patternFill>
    </fill>
    <fill>
      <patternFill patternType="solid">
        <fgColor rgb="FFF6F6F6"/>
        <bgColor indexed="64"/>
      </patternFill>
    </fill>
    <fill>
      <patternFill patternType="solid">
        <fgColor rgb="FFE0E0E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C4D79B"/>
        <bgColor indexed="64"/>
      </patternFill>
    </fill>
    <fill>
      <patternFill patternType="solid">
        <fgColor rgb="FFFCD5B4"/>
        <bgColor indexed="64"/>
      </patternFill>
    </fill>
    <fill>
      <patternFill patternType="solid">
        <fgColor rgb="FFA6A6A6"/>
        <bgColor indexed="64"/>
      </patternFill>
    </fill>
    <fill>
      <patternFill patternType="solid">
        <fgColor rgb="FFEBF1DE"/>
        <bgColor indexed="64"/>
      </patternFill>
    </fill>
    <fill>
      <patternFill patternType="solid">
        <fgColor theme="0" tint="-0.34998626667073579"/>
        <bgColor rgb="FFC4D79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3">
    <xf numFmtId="0" fontId="0" fillId="0" borderId="0"/>
    <xf numFmtId="0" fontId="6" fillId="0" borderId="0" applyNumberFormat="0" applyFill="0" applyBorder="0" applyAlignment="0" applyProtection="0"/>
    <xf numFmtId="44" fontId="14" fillId="0" borderId="0" applyFont="0" applyFill="0" applyBorder="0" applyAlignment="0" applyProtection="0"/>
  </cellStyleXfs>
  <cellXfs count="201">
    <xf numFmtId="0" fontId="0" fillId="0" borderId="0" xfId="0"/>
    <xf numFmtId="0" fontId="0" fillId="3" borderId="0" xfId="0" applyFill="1"/>
    <xf numFmtId="0" fontId="4" fillId="3" borderId="0" xfId="0" applyFont="1" applyFill="1" applyAlignment="1">
      <alignment wrapText="1"/>
    </xf>
    <xf numFmtId="0" fontId="4" fillId="3" borderId="0" xfId="0" applyFont="1" applyFill="1"/>
    <xf numFmtId="0" fontId="3" fillId="4" borderId="1" xfId="0" applyFont="1" applyFill="1" applyBorder="1" applyAlignment="1">
      <alignment horizontal="center" vertical="center"/>
    </xf>
    <xf numFmtId="164" fontId="3" fillId="2" borderId="2" xfId="0" applyNumberFormat="1" applyFont="1" applyFill="1" applyBorder="1" applyAlignment="1">
      <alignment vertical="center"/>
    </xf>
    <xf numFmtId="0" fontId="3" fillId="7" borderId="1" xfId="0" applyFont="1" applyFill="1" applyBorder="1" applyAlignment="1">
      <alignment vertical="center" wrapText="1"/>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1" fillId="7" borderId="1" xfId="0" applyFont="1" applyFill="1" applyBorder="1" applyAlignment="1">
      <alignment horizontal="left" vertical="center"/>
    </xf>
    <xf numFmtId="0" fontId="1" fillId="7" borderId="1" xfId="0" applyFont="1" applyFill="1" applyBorder="1" applyAlignment="1">
      <alignment vertical="center"/>
    </xf>
    <xf numFmtId="0" fontId="1" fillId="7" borderId="1" xfId="0" applyFont="1" applyFill="1" applyBorder="1" applyAlignment="1">
      <alignment vertical="center" wrapText="1"/>
    </xf>
    <xf numFmtId="0" fontId="5" fillId="5" borderId="7" xfId="1" applyFont="1" applyFill="1" applyBorder="1" applyAlignment="1">
      <alignment horizontal="left" vertical="center" wrapText="1"/>
    </xf>
    <xf numFmtId="0" fontId="5" fillId="5" borderId="8" xfId="1" applyFont="1" applyFill="1" applyBorder="1" applyAlignment="1">
      <alignment horizontal="left" vertical="center" wrapText="1"/>
    </xf>
    <xf numFmtId="0" fontId="10" fillId="8" borderId="1" xfId="0" applyFont="1" applyFill="1" applyBorder="1" applyAlignment="1">
      <alignment horizontal="center" vertical="center" wrapText="1"/>
    </xf>
    <xf numFmtId="0" fontId="5" fillId="5" borderId="8" xfId="1" applyFont="1" applyFill="1" applyBorder="1" applyAlignment="1">
      <alignment horizontal="left" vertical="center" wrapText="1"/>
    </xf>
    <xf numFmtId="0" fontId="3" fillId="4" borderId="1" xfId="0" applyFont="1" applyFill="1" applyBorder="1" applyAlignment="1">
      <alignment horizontal="center" vertical="center" wrapText="1"/>
    </xf>
    <xf numFmtId="0" fontId="10" fillId="7" borderId="1" xfId="0" applyFont="1" applyFill="1" applyBorder="1" applyAlignment="1">
      <alignment vertical="center" wrapText="1"/>
    </xf>
    <xf numFmtId="165" fontId="12" fillId="10" borderId="1" xfId="0" applyNumberFormat="1" applyFont="1" applyFill="1" applyBorder="1" applyAlignment="1">
      <alignment horizontal="center" vertical="center"/>
    </xf>
    <xf numFmtId="164" fontId="0" fillId="0" borderId="0" xfId="0" applyNumberFormat="1"/>
    <xf numFmtId="0" fontId="5" fillId="5" borderId="8" xfId="1" applyFont="1" applyFill="1" applyBorder="1" applyAlignment="1">
      <alignment horizontal="left" vertical="center" wrapText="1"/>
    </xf>
    <xf numFmtId="0" fontId="5" fillId="5" borderId="2" xfId="1" applyFont="1" applyFill="1" applyBorder="1" applyAlignment="1">
      <alignment horizontal="left" vertical="center" wrapText="1"/>
    </xf>
    <xf numFmtId="164" fontId="3" fillId="2" borderId="1" xfId="0" applyNumberFormat="1" applyFont="1" applyFill="1" applyBorder="1" applyAlignment="1">
      <alignment horizontal="right" vertical="center"/>
    </xf>
    <xf numFmtId="164" fontId="3" fillId="2" borderId="1" xfId="2" applyNumberFormat="1" applyFont="1" applyFill="1" applyBorder="1" applyAlignment="1">
      <alignment horizontal="right" vertical="center"/>
    </xf>
    <xf numFmtId="170" fontId="3" fillId="2" borderId="1" xfId="0" applyNumberFormat="1" applyFont="1" applyFill="1" applyBorder="1" applyAlignment="1">
      <alignment horizontal="center" vertical="center"/>
    </xf>
    <xf numFmtId="164" fontId="3" fillId="2" borderId="2" xfId="0" applyNumberFormat="1" applyFont="1" applyFill="1" applyBorder="1" applyAlignment="1" applyProtection="1">
      <alignment vertical="center"/>
      <protection locked="0"/>
    </xf>
    <xf numFmtId="0" fontId="3" fillId="2" borderId="1" xfId="0" applyNumberFormat="1" applyFont="1" applyFill="1" applyBorder="1" applyAlignment="1" applyProtection="1">
      <alignment vertical="center"/>
      <protection locked="0"/>
    </xf>
    <xf numFmtId="165" fontId="13" fillId="9" borderId="1" xfId="0" applyNumberFormat="1" applyFont="1" applyFill="1" applyBorder="1" applyAlignment="1" applyProtection="1">
      <alignment horizontal="center" vertical="center" wrapText="1"/>
      <protection locked="0"/>
    </xf>
    <xf numFmtId="0" fontId="8" fillId="9" borderId="1" xfId="0" applyNumberFormat="1" applyFont="1" applyFill="1" applyBorder="1" applyAlignment="1" applyProtection="1">
      <alignment horizontal="center" vertical="center"/>
      <protection locked="0"/>
    </xf>
    <xf numFmtId="165" fontId="8" fillId="9" borderId="1" xfId="0" applyNumberFormat="1" applyFont="1" applyFill="1" applyBorder="1" applyAlignment="1" applyProtection="1">
      <alignment horizontal="center" vertical="center"/>
      <protection locked="0"/>
    </xf>
    <xf numFmtId="169" fontId="8" fillId="9" borderId="1" xfId="0" applyNumberFormat="1" applyFont="1" applyFill="1" applyBorder="1" applyAlignment="1" applyProtection="1">
      <alignment horizontal="center" vertical="center"/>
      <protection locked="0"/>
    </xf>
    <xf numFmtId="164" fontId="8" fillId="9" borderId="1" xfId="0" applyNumberFormat="1" applyFont="1" applyFill="1" applyBorder="1" applyAlignment="1" applyProtection="1">
      <alignment horizontal="center" vertical="center"/>
      <protection locked="0"/>
    </xf>
    <xf numFmtId="166" fontId="8" fillId="9" borderId="1" xfId="0" applyNumberFormat="1" applyFont="1" applyFill="1" applyBorder="1" applyAlignment="1" applyProtection="1">
      <alignment horizontal="center" vertical="center"/>
      <protection locked="0"/>
    </xf>
    <xf numFmtId="168" fontId="1" fillId="2" borderId="1" xfId="0" applyNumberFormat="1" applyFont="1" applyFill="1" applyBorder="1" applyAlignment="1" applyProtection="1">
      <alignment horizontal="center" vertical="center"/>
      <protection locked="0"/>
    </xf>
    <xf numFmtId="0" fontId="2" fillId="3" borderId="0" xfId="0" applyFont="1" applyFill="1"/>
    <xf numFmtId="0" fontId="16" fillId="3" borderId="0" xfId="0" applyFont="1" applyFill="1"/>
    <xf numFmtId="0" fontId="17" fillId="3" borderId="0" xfId="0" applyFont="1" applyFill="1"/>
    <xf numFmtId="0" fontId="17" fillId="0" borderId="0" xfId="0" applyFont="1"/>
    <xf numFmtId="164" fontId="17" fillId="3" borderId="0" xfId="0" applyNumberFormat="1" applyFont="1" applyFill="1"/>
    <xf numFmtId="0" fontId="0" fillId="11" borderId="14" xfId="0" applyFill="1" applyBorder="1" applyAlignment="1">
      <alignment vertical="center" wrapText="1"/>
    </xf>
    <xf numFmtId="3" fontId="0" fillId="11" borderId="14" xfId="0" applyNumberFormat="1" applyFill="1" applyBorder="1" applyAlignment="1">
      <alignment vertical="center" wrapText="1"/>
    </xf>
    <xf numFmtId="0" fontId="1" fillId="6" borderId="0" xfId="0" applyFont="1" applyFill="1" applyAlignment="1">
      <alignment horizontal="center" vertical="center" wrapText="1"/>
    </xf>
    <xf numFmtId="0" fontId="1" fillId="12" borderId="0" xfId="0" applyFont="1" applyFill="1" applyAlignment="1">
      <alignment horizontal="center" vertical="center" wrapText="1"/>
    </xf>
    <xf numFmtId="171" fontId="1" fillId="6" borderId="0" xfId="0" applyNumberFormat="1" applyFont="1" applyFill="1" applyAlignment="1">
      <alignment horizontal="center" vertical="center" wrapText="1"/>
    </xf>
    <xf numFmtId="171" fontId="0" fillId="11" borderId="14" xfId="0" applyNumberFormat="1" applyFill="1" applyBorder="1" applyAlignment="1">
      <alignment vertical="center" wrapText="1"/>
    </xf>
    <xf numFmtId="171" fontId="0" fillId="0" borderId="0" xfId="0" applyNumberFormat="1"/>
    <xf numFmtId="0" fontId="1" fillId="13" borderId="0" xfId="0" applyFont="1" applyFill="1" applyAlignment="1">
      <alignment horizontal="center" vertical="center" wrapText="1"/>
    </xf>
    <xf numFmtId="0" fontId="2" fillId="4" borderId="0" xfId="0" applyFont="1" applyFill="1"/>
    <xf numFmtId="0" fontId="3" fillId="14" borderId="1" xfId="0" applyFont="1" applyFill="1" applyBorder="1" applyAlignment="1">
      <alignment horizontal="center" vertical="center" wrapText="1"/>
    </xf>
    <xf numFmtId="0" fontId="19" fillId="11" borderId="0" xfId="0" applyFont="1" applyFill="1" applyAlignment="1">
      <alignment horizontal="left" wrapText="1"/>
    </xf>
    <xf numFmtId="3" fontId="19" fillId="11" borderId="0" xfId="0" applyNumberFormat="1" applyFont="1" applyFill="1" applyAlignment="1">
      <alignment horizontal="right" wrapText="1"/>
    </xf>
    <xf numFmtId="0" fontId="19" fillId="11" borderId="0" xfId="0" applyFont="1" applyFill="1" applyAlignment="1">
      <alignment horizontal="right" wrapText="1"/>
    </xf>
    <xf numFmtId="0" fontId="19" fillId="15" borderId="0" xfId="0" applyFont="1" applyFill="1" applyAlignment="1">
      <alignment horizontal="left" wrapText="1"/>
    </xf>
    <xf numFmtId="3" fontId="19" fillId="15" borderId="0" xfId="0" applyNumberFormat="1" applyFont="1" applyFill="1" applyAlignment="1">
      <alignment horizontal="right" wrapText="1"/>
    </xf>
    <xf numFmtId="0" fontId="19" fillId="15" borderId="0" xfId="0" applyFont="1" applyFill="1" applyAlignment="1">
      <alignment horizontal="right" wrapText="1"/>
    </xf>
    <xf numFmtId="0" fontId="19" fillId="11" borderId="14" xfId="0" applyFont="1" applyFill="1" applyBorder="1" applyAlignment="1">
      <alignment horizontal="left" wrapText="1"/>
    </xf>
    <xf numFmtId="0" fontId="0" fillId="11" borderId="0" xfId="0" applyFill="1" applyBorder="1" applyAlignment="1">
      <alignment vertical="center" wrapText="1"/>
    </xf>
    <xf numFmtId="0" fontId="19" fillId="15" borderId="14" xfId="0" applyFont="1" applyFill="1" applyBorder="1" applyAlignment="1">
      <alignment horizontal="left" wrapText="1"/>
    </xf>
    <xf numFmtId="3" fontId="19" fillId="11" borderId="14" xfId="0" applyNumberFormat="1" applyFont="1" applyFill="1" applyBorder="1" applyAlignment="1">
      <alignment horizontal="right" wrapText="1"/>
    </xf>
    <xf numFmtId="3" fontId="0" fillId="11" borderId="0" xfId="0" applyNumberFormat="1" applyFill="1" applyBorder="1" applyAlignment="1">
      <alignment vertical="center" wrapText="1"/>
    </xf>
    <xf numFmtId="3" fontId="19" fillId="15" borderId="14" xfId="0" applyNumberFormat="1" applyFont="1" applyFill="1" applyBorder="1" applyAlignment="1">
      <alignment horizontal="right" wrapText="1"/>
    </xf>
    <xf numFmtId="0" fontId="19" fillId="11" borderId="14" xfId="0" applyFont="1" applyFill="1" applyBorder="1" applyAlignment="1">
      <alignment horizontal="right" wrapText="1"/>
    </xf>
    <xf numFmtId="0" fontId="19" fillId="15" borderId="14" xfId="0" applyFont="1" applyFill="1" applyBorder="1" applyAlignment="1">
      <alignment horizontal="right" wrapText="1"/>
    </xf>
    <xf numFmtId="171" fontId="0" fillId="11" borderId="0" xfId="0" applyNumberFormat="1" applyFill="1" applyBorder="1" applyAlignment="1">
      <alignment vertical="center" wrapText="1"/>
    </xf>
    <xf numFmtId="0" fontId="19" fillId="16" borderId="0" xfId="0" applyFont="1" applyFill="1" applyAlignment="1">
      <alignment horizontal="left" wrapText="1"/>
    </xf>
    <xf numFmtId="3" fontId="19" fillId="16" borderId="0" xfId="0" applyNumberFormat="1" applyFont="1" applyFill="1" applyAlignment="1">
      <alignment horizontal="right" wrapText="1"/>
    </xf>
    <xf numFmtId="0" fontId="19" fillId="17" borderId="0" xfId="0" applyFont="1" applyFill="1" applyAlignment="1">
      <alignment horizontal="left" wrapText="1"/>
    </xf>
    <xf numFmtId="3" fontId="19" fillId="17" borderId="0" xfId="0" applyNumberFormat="1" applyFont="1" applyFill="1" applyAlignment="1">
      <alignment horizontal="right" wrapText="1"/>
    </xf>
    <xf numFmtId="0" fontId="19" fillId="16" borderId="14" xfId="0" applyFont="1" applyFill="1" applyBorder="1" applyAlignment="1">
      <alignment horizontal="left" wrapText="1"/>
    </xf>
    <xf numFmtId="0" fontId="19" fillId="11" borderId="0" xfId="0" applyFont="1" applyFill="1" applyBorder="1" applyAlignment="1">
      <alignment horizontal="left" wrapText="1"/>
    </xf>
    <xf numFmtId="0" fontId="19" fillId="17" borderId="14" xfId="0" applyFont="1" applyFill="1" applyBorder="1" applyAlignment="1">
      <alignment horizontal="left" wrapText="1"/>
    </xf>
    <xf numFmtId="0" fontId="19" fillId="15" borderId="0" xfId="0" applyFont="1" applyFill="1" applyBorder="1" applyAlignment="1">
      <alignment horizontal="left" wrapText="1"/>
    </xf>
    <xf numFmtId="3" fontId="19" fillId="16" borderId="14" xfId="0" applyNumberFormat="1" applyFont="1" applyFill="1" applyBorder="1" applyAlignment="1">
      <alignment horizontal="right" wrapText="1"/>
    </xf>
    <xf numFmtId="3" fontId="19" fillId="11" borderId="0" xfId="0" applyNumberFormat="1" applyFont="1" applyFill="1" applyBorder="1" applyAlignment="1">
      <alignment horizontal="right" wrapText="1"/>
    </xf>
    <xf numFmtId="3" fontId="19" fillId="17" borderId="14" xfId="0" applyNumberFormat="1" applyFont="1" applyFill="1" applyBorder="1" applyAlignment="1">
      <alignment horizontal="right" wrapText="1"/>
    </xf>
    <xf numFmtId="3" fontId="19" fillId="15" borderId="0" xfId="0" applyNumberFormat="1" applyFont="1" applyFill="1" applyBorder="1" applyAlignment="1">
      <alignment horizontal="right" wrapText="1"/>
    </xf>
    <xf numFmtId="0" fontId="19" fillId="11" borderId="0" xfId="0" applyFont="1" applyFill="1" applyBorder="1" applyAlignment="1">
      <alignment horizontal="right" wrapText="1"/>
    </xf>
    <xf numFmtId="0" fontId="19" fillId="15" borderId="0" xfId="0" applyFont="1" applyFill="1" applyBorder="1" applyAlignment="1">
      <alignment horizontal="right" wrapText="1"/>
    </xf>
    <xf numFmtId="0" fontId="5" fillId="5" borderId="8" xfId="1" applyFont="1" applyFill="1" applyBorder="1" applyAlignment="1">
      <alignment horizontal="left" vertical="center" wrapText="1"/>
    </xf>
    <xf numFmtId="0" fontId="10" fillId="7" borderId="7" xfId="0" applyFont="1" applyFill="1" applyBorder="1" applyAlignment="1">
      <alignment vertical="center" wrapText="1"/>
    </xf>
    <xf numFmtId="0" fontId="10" fillId="8" borderId="11" xfId="0" applyFont="1" applyFill="1" applyBorder="1" applyAlignment="1" applyProtection="1">
      <alignment vertical="center" wrapText="1"/>
    </xf>
    <xf numFmtId="167" fontId="8" fillId="9" borderId="1" xfId="0" applyNumberFormat="1" applyFont="1" applyFill="1" applyBorder="1" applyAlignment="1" applyProtection="1">
      <alignment horizontal="center" vertical="center"/>
      <protection locked="0"/>
    </xf>
    <xf numFmtId="0" fontId="0" fillId="5" borderId="1" xfId="0" applyFill="1" applyBorder="1"/>
    <xf numFmtId="172" fontId="0" fillId="5" borderId="1" xfId="0" applyNumberFormat="1" applyFill="1" applyBorder="1"/>
    <xf numFmtId="173" fontId="0" fillId="5" borderId="1" xfId="0" applyNumberFormat="1" applyFill="1" applyBorder="1"/>
    <xf numFmtId="174" fontId="0" fillId="5" borderId="1" xfId="0" applyNumberFormat="1" applyFill="1" applyBorder="1"/>
    <xf numFmtId="175" fontId="0" fillId="5" borderId="1" xfId="0" applyNumberFormat="1" applyFill="1" applyBorder="1"/>
    <xf numFmtId="164" fontId="0" fillId="5" borderId="1" xfId="0" applyNumberFormat="1" applyFill="1" applyBorder="1"/>
    <xf numFmtId="0" fontId="1" fillId="14" borderId="1" xfId="0" applyFont="1" applyFill="1" applyBorder="1" applyAlignment="1">
      <alignment vertical="center"/>
    </xf>
    <xf numFmtId="0" fontId="0" fillId="18" borderId="1" xfId="0" applyFill="1" applyBorder="1"/>
    <xf numFmtId="0" fontId="3" fillId="7" borderId="1" xfId="0" applyFont="1" applyFill="1" applyBorder="1" applyAlignment="1">
      <alignment horizontal="left" vertical="center" wrapText="1"/>
    </xf>
    <xf numFmtId="165" fontId="0" fillId="0" borderId="0" xfId="0" applyNumberFormat="1"/>
    <xf numFmtId="0" fontId="5" fillId="5" borderId="8" xfId="1" applyFont="1" applyFill="1" applyBorder="1" applyAlignment="1">
      <alignment horizontal="left" vertical="center" wrapText="1"/>
    </xf>
    <xf numFmtId="0" fontId="5" fillId="5" borderId="2" xfId="1" applyFont="1" applyFill="1" applyBorder="1" applyAlignment="1">
      <alignment horizontal="left" vertical="center" wrapText="1"/>
    </xf>
    <xf numFmtId="0" fontId="24" fillId="3" borderId="0" xfId="0" applyFont="1" applyFill="1"/>
    <xf numFmtId="0" fontId="24" fillId="0" borderId="0" xfId="0" applyFont="1"/>
    <xf numFmtId="166" fontId="3" fillId="19" borderId="1" xfId="0" applyNumberFormat="1" applyFont="1" applyFill="1" applyBorder="1" applyAlignment="1" applyProtection="1">
      <alignment vertical="center"/>
      <protection locked="0"/>
    </xf>
    <xf numFmtId="0" fontId="3" fillId="19" borderId="1" xfId="0" applyNumberFormat="1" applyFont="1" applyFill="1" applyBorder="1" applyAlignment="1" applyProtection="1">
      <alignment vertical="center"/>
      <protection locked="0"/>
    </xf>
    <xf numFmtId="0" fontId="3" fillId="19" borderId="7" xfId="0" applyNumberFormat="1" applyFont="1" applyFill="1" applyBorder="1" applyAlignment="1" applyProtection="1">
      <alignment vertical="center"/>
      <protection locked="0"/>
    </xf>
    <xf numFmtId="3" fontId="9" fillId="9" borderId="1" xfId="0"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0" fontId="23" fillId="3" borderId="0" xfId="0" applyFont="1" applyFill="1"/>
    <xf numFmtId="0" fontId="11" fillId="3" borderId="0" xfId="0" applyFont="1" applyFill="1" applyAlignment="1">
      <alignment horizontal="center" wrapText="1"/>
    </xf>
    <xf numFmtId="0" fontId="10" fillId="3" borderId="0" xfId="0" applyFont="1" applyFill="1" applyBorder="1" applyAlignment="1">
      <alignment horizontal="left" vertical="center"/>
    </xf>
    <xf numFmtId="0" fontId="10" fillId="3" borderId="6" xfId="0" applyFont="1" applyFill="1" applyBorder="1" applyAlignment="1">
      <alignment horizontal="left" vertical="center"/>
    </xf>
    <xf numFmtId="0" fontId="0" fillId="2" borderId="0" xfId="0" applyFill="1" applyProtection="1">
      <protection locked="0"/>
    </xf>
    <xf numFmtId="0" fontId="0" fillId="7" borderId="0" xfId="0" applyFill="1" applyProtection="1">
      <protection locked="0"/>
    </xf>
    <xf numFmtId="0" fontId="0" fillId="13" borderId="0" xfId="0" applyFill="1" applyProtection="1">
      <protection locked="0"/>
    </xf>
    <xf numFmtId="0" fontId="0" fillId="5" borderId="1" xfId="0" applyFill="1" applyBorder="1" applyAlignment="1" applyProtection="1">
      <alignment horizontal="center" vertical="center" wrapText="1"/>
      <protection locked="0"/>
    </xf>
    <xf numFmtId="164" fontId="11" fillId="13" borderId="1" xfId="0" applyNumberFormat="1" applyFont="1" applyFill="1" applyBorder="1" applyAlignment="1" applyProtection="1">
      <alignment horizontal="center" vertical="center" wrapText="1"/>
      <protection locked="0"/>
    </xf>
    <xf numFmtId="0" fontId="11" fillId="13" borderId="0" xfId="0"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3" fontId="0" fillId="0" borderId="0" xfId="0" applyNumberFormat="1"/>
    <xf numFmtId="4" fontId="0" fillId="0" borderId="0" xfId="0" applyNumberFormat="1"/>
    <xf numFmtId="3" fontId="0" fillId="0" borderId="0" xfId="0" applyNumberFormat="1" applyFill="1"/>
    <xf numFmtId="4" fontId="0" fillId="0" borderId="0" xfId="0" applyNumberFormat="1" applyFill="1"/>
    <xf numFmtId="3" fontId="0" fillId="0" borderId="14" xfId="0" applyNumberFormat="1" applyBorder="1"/>
    <xf numFmtId="4" fontId="0" fillId="0" borderId="14" xfId="0" applyNumberFormat="1" applyBorder="1"/>
    <xf numFmtId="164" fontId="23" fillId="5" borderId="1" xfId="0" applyNumberFormat="1" applyFont="1" applyFill="1" applyBorder="1" applyAlignment="1" applyProtection="1">
      <alignment horizontal="center" vertical="center"/>
      <protection locked="0"/>
    </xf>
    <xf numFmtId="165" fontId="23" fillId="5" borderId="1" xfId="0" applyNumberFormat="1" applyFont="1" applyFill="1" applyBorder="1" applyAlignment="1" applyProtection="1">
      <alignment horizontal="center" vertical="center"/>
      <protection locked="0"/>
    </xf>
    <xf numFmtId="0" fontId="1" fillId="3" borderId="0" xfId="0" applyFont="1" applyFill="1"/>
    <xf numFmtId="0" fontId="20" fillId="3" borderId="0" xfId="0" applyFont="1" applyFill="1" applyAlignment="1">
      <alignment wrapText="1"/>
    </xf>
    <xf numFmtId="0" fontId="26" fillId="3" borderId="0" xfId="0" applyFont="1" applyFill="1"/>
    <xf numFmtId="164" fontId="3" fillId="20" borderId="1" xfId="0" applyNumberFormat="1" applyFont="1" applyFill="1" applyBorder="1" applyAlignment="1" applyProtection="1">
      <alignment horizontal="center" vertical="center"/>
      <protection locked="0"/>
    </xf>
    <xf numFmtId="0" fontId="3" fillId="20" borderId="1"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5" fillId="3" borderId="0" xfId="0" applyFont="1" applyFill="1" applyAlignment="1">
      <alignment horizontal="center"/>
    </xf>
    <xf numFmtId="0" fontId="18" fillId="7" borderId="1"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8" borderId="3"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7" borderId="1" xfId="0" applyFont="1" applyFill="1" applyBorder="1" applyAlignment="1">
      <alignment horizontal="center" vertical="center"/>
    </xf>
    <xf numFmtId="0" fontId="15" fillId="0" borderId="0" xfId="0" applyFont="1" applyAlignment="1">
      <alignment horizontal="center"/>
    </xf>
    <xf numFmtId="0" fontId="11" fillId="3" borderId="0" xfId="0" applyFont="1" applyFill="1" applyAlignment="1">
      <alignment wrapText="1"/>
    </xf>
    <xf numFmtId="0" fontId="10" fillId="21" borderId="3" xfId="0" applyFont="1" applyFill="1" applyBorder="1" applyAlignment="1" applyProtection="1">
      <alignment vertical="center" wrapText="1"/>
    </xf>
    <xf numFmtId="171" fontId="3" fillId="13" borderId="1" xfId="0" applyNumberFormat="1" applyFont="1" applyFill="1" applyBorder="1" applyAlignment="1" applyProtection="1">
      <alignment vertical="center"/>
    </xf>
    <xf numFmtId="0" fontId="3" fillId="23" borderId="1" xfId="0" applyFont="1" applyFill="1" applyBorder="1" applyAlignment="1">
      <alignment horizontal="center" vertical="center"/>
    </xf>
    <xf numFmtId="165" fontId="0" fillId="20" borderId="1" xfId="0" applyNumberFormat="1" applyFill="1" applyBorder="1" applyAlignment="1" applyProtection="1">
      <alignment horizontal="center" vertical="center"/>
      <protection locked="0"/>
    </xf>
    <xf numFmtId="0" fontId="0" fillId="20" borderId="1" xfId="0" applyFill="1" applyBorder="1" applyAlignment="1" applyProtection="1">
      <alignment horizontal="center" vertical="center"/>
      <protection locked="0"/>
    </xf>
    <xf numFmtId="165" fontId="8" fillId="22" borderId="1" xfId="0" applyNumberFormat="1" applyFont="1" applyFill="1" applyBorder="1" applyAlignment="1" applyProtection="1">
      <alignment horizontal="right" vertical="center"/>
      <protection locked="0"/>
    </xf>
    <xf numFmtId="167" fontId="8" fillId="22" borderId="1" xfId="0" applyNumberFormat="1" applyFont="1" applyFill="1" applyBorder="1" applyAlignment="1" applyProtection="1">
      <alignment horizontal="right" vertical="center"/>
      <protection locked="0"/>
    </xf>
    <xf numFmtId="164" fontId="8" fillId="22" borderId="1" xfId="0" applyNumberFormat="1" applyFont="1" applyFill="1" applyBorder="1" applyAlignment="1" applyProtection="1">
      <alignment horizontal="right" vertical="center"/>
      <protection locked="0"/>
    </xf>
    <xf numFmtId="169" fontId="8" fillId="22" borderId="1" xfId="0" applyNumberFormat="1" applyFont="1" applyFill="1" applyBorder="1" applyAlignment="1" applyProtection="1">
      <alignment horizontal="right" vertical="center"/>
      <protection locked="0"/>
    </xf>
    <xf numFmtId="166" fontId="8" fillId="22" borderId="1" xfId="0" applyNumberFormat="1" applyFont="1" applyFill="1" applyBorder="1" applyAlignment="1" applyProtection="1">
      <alignment horizontal="right" vertical="center"/>
      <protection locked="0"/>
    </xf>
    <xf numFmtId="169" fontId="8" fillId="22" borderId="3" xfId="0" applyNumberFormat="1" applyFont="1" applyFill="1" applyBorder="1" applyAlignment="1" applyProtection="1">
      <alignment horizontal="right" vertical="center"/>
      <protection locked="0"/>
    </xf>
    <xf numFmtId="3" fontId="9" fillId="24" borderId="1" xfId="0" applyNumberFormat="1" applyFont="1" applyFill="1" applyBorder="1" applyAlignment="1">
      <alignment horizontal="center"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7" borderId="7" xfId="0" applyFill="1" applyBorder="1" applyAlignment="1" applyProtection="1">
      <alignment vertical="center" wrapText="1"/>
    </xf>
    <xf numFmtId="0" fontId="0" fillId="7" borderId="8" xfId="0" applyFill="1" applyBorder="1" applyAlignment="1" applyProtection="1">
      <alignment vertical="center" wrapText="1"/>
    </xf>
    <xf numFmtId="0" fontId="0" fillId="13" borderId="7" xfId="0" applyFill="1" applyBorder="1" applyAlignment="1" applyProtection="1">
      <alignment vertical="center" wrapText="1"/>
    </xf>
    <xf numFmtId="0" fontId="0" fillId="13" borderId="8" xfId="0" applyFill="1" applyBorder="1" applyAlignment="1" applyProtection="1">
      <alignment vertical="center" wrapText="1"/>
    </xf>
    <xf numFmtId="0" fontId="3" fillId="5" borderId="1" xfId="0" applyFont="1" applyFill="1" applyBorder="1" applyAlignment="1">
      <alignment horizontal="center" vertical="center" wrapText="1"/>
    </xf>
    <xf numFmtId="0" fontId="0" fillId="3" borderId="7" xfId="0" applyFill="1" applyBorder="1" applyProtection="1">
      <protection locked="0"/>
    </xf>
    <xf numFmtId="0" fontId="0" fillId="3" borderId="8" xfId="0" applyFill="1" applyBorder="1" applyProtection="1">
      <protection locked="0"/>
    </xf>
    <xf numFmtId="0" fontId="0" fillId="3" borderId="2" xfId="0" applyFill="1" applyBorder="1" applyProtection="1">
      <protection locked="0"/>
    </xf>
    <xf numFmtId="0" fontId="0" fillId="2" borderId="0" xfId="0"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3" borderId="0" xfId="0" applyFill="1" applyProtection="1">
      <protection locked="0"/>
    </xf>
    <xf numFmtId="0" fontId="20" fillId="3" borderId="0" xfId="0" applyFont="1" applyFill="1" applyAlignment="1">
      <alignment horizontal="left" vertical="center" wrapText="1"/>
    </xf>
    <xf numFmtId="0" fontId="3" fillId="5" borderId="6" xfId="0" applyFont="1" applyFill="1" applyBorder="1" applyAlignment="1">
      <alignment horizontal="left" vertical="center"/>
    </xf>
    <xf numFmtId="0" fontId="0" fillId="5" borderId="13" xfId="0" applyFont="1" applyFill="1" applyBorder="1" applyAlignment="1">
      <alignment horizontal="left" vertical="top" wrapText="1"/>
    </xf>
    <xf numFmtId="0" fontId="0" fillId="5" borderId="0" xfId="0" applyFont="1" applyFill="1" applyBorder="1" applyAlignment="1">
      <alignment horizontal="left" vertical="top" wrapText="1"/>
    </xf>
    <xf numFmtId="0" fontId="27" fillId="4" borderId="0"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5" fillId="5" borderId="5" xfId="1" applyFont="1" applyFill="1" applyBorder="1" applyAlignment="1">
      <alignment horizontal="left" vertical="center" wrapText="1"/>
    </xf>
    <xf numFmtId="0" fontId="5" fillId="5" borderId="10" xfId="1" applyFont="1" applyFill="1" applyBorder="1" applyAlignment="1">
      <alignment horizontal="left" vertical="center" wrapText="1"/>
    </xf>
    <xf numFmtId="0" fontId="5" fillId="5" borderId="13"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5" borderId="7"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5" borderId="2" xfId="1" applyFont="1" applyFill="1" applyBorder="1" applyAlignment="1">
      <alignment horizontal="left" vertical="center" wrapText="1"/>
    </xf>
    <xf numFmtId="0" fontId="5" fillId="5" borderId="11" xfId="1" applyFont="1" applyFill="1" applyBorder="1" applyAlignment="1">
      <alignment horizontal="left" vertical="center" wrapText="1"/>
    </xf>
    <xf numFmtId="0" fontId="5" fillId="5" borderId="12" xfId="1" applyFont="1" applyFill="1" applyBorder="1" applyAlignment="1">
      <alignment horizontal="left" vertical="center" wrapText="1"/>
    </xf>
    <xf numFmtId="0" fontId="5" fillId="5" borderId="7" xfId="1" applyFont="1" applyFill="1" applyBorder="1" applyAlignment="1" applyProtection="1">
      <alignment horizontal="center" vertical="center" wrapText="1"/>
    </xf>
    <xf numFmtId="0" fontId="5" fillId="5" borderId="2" xfId="1" applyFont="1" applyFill="1" applyBorder="1" applyAlignment="1" applyProtection="1">
      <alignment horizontal="center" vertical="center" wrapText="1"/>
    </xf>
    <xf numFmtId="0" fontId="18" fillId="7" borderId="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 fillId="7" borderId="7" xfId="0" applyFont="1" applyFill="1" applyBorder="1" applyAlignment="1">
      <alignment horizontal="left" vertical="center" wrapText="1"/>
    </xf>
    <xf numFmtId="0" fontId="1" fillId="7" borderId="2" xfId="0" applyFont="1" applyFill="1" applyBorder="1" applyAlignment="1">
      <alignment horizontal="left" vertical="center" wrapText="1"/>
    </xf>
    <xf numFmtId="165" fontId="0" fillId="20" borderId="7" xfId="0" applyNumberFormat="1" applyFill="1" applyBorder="1" applyAlignment="1" applyProtection="1">
      <alignment horizontal="center" vertical="center"/>
      <protection locked="0"/>
    </xf>
    <xf numFmtId="165" fontId="0" fillId="20" borderId="2" xfId="0" applyNumberFormat="1" applyFill="1" applyBorder="1" applyAlignment="1" applyProtection="1">
      <alignment horizontal="center" vertical="center"/>
      <protection locked="0"/>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10" fillId="3" borderId="6"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5" fillId="4" borderId="15" xfId="0" applyFont="1" applyFill="1" applyBorder="1" applyAlignment="1">
      <alignment horizontal="center" vertical="center"/>
    </xf>
    <xf numFmtId="0" fontId="0" fillId="3" borderId="0" xfId="0" applyFill="1" applyAlignment="1">
      <alignment horizontal="left" vertical="center" wrapText="1"/>
    </xf>
    <xf numFmtId="0" fontId="10" fillId="2" borderId="6" xfId="0" applyFont="1" applyFill="1" applyBorder="1" applyAlignment="1">
      <alignment horizontal="left" vertical="center"/>
    </xf>
    <xf numFmtId="0" fontId="10" fillId="7" borderId="6" xfId="0" applyFont="1" applyFill="1" applyBorder="1" applyAlignment="1">
      <alignment horizontal="left" vertical="center"/>
    </xf>
    <xf numFmtId="0" fontId="10" fillId="13" borderId="6" xfId="0" applyFont="1" applyFill="1" applyBorder="1" applyAlignment="1">
      <alignment horizontal="left" vertical="center"/>
    </xf>
  </cellXfs>
  <cellStyles count="3">
    <cellStyle name="Hipervínculo" xfId="1" builtinId="8"/>
    <cellStyle name="Moneda" xfId="2" builtinId="4"/>
    <cellStyle name="Normal" xfId="0" builtinId="0"/>
  </cellStyles>
  <dxfs count="184">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Medium9"/>
  <colors>
    <mruColors>
      <color rgb="FFA6A6A6"/>
      <color rgb="FFC4D79B"/>
      <color rgb="FFEBF1DE"/>
      <color rgb="FFFCD5B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149678</xdr:colOff>
      <xdr:row>0</xdr:row>
      <xdr:rowOff>48987</xdr:rowOff>
    </xdr:from>
    <xdr:to>
      <xdr:col>2</xdr:col>
      <xdr:colOff>1235832</xdr:colOff>
      <xdr:row>3</xdr:row>
      <xdr:rowOff>24652</xdr:rowOff>
    </xdr:to>
    <xdr:pic>
      <xdr:nvPicPr>
        <xdr:cNvPr id="5" name="6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7635" y="48987"/>
          <a:ext cx="1086154" cy="713013"/>
        </a:xfrm>
        <a:prstGeom prst="rect">
          <a:avLst/>
        </a:prstGeom>
      </xdr:spPr>
    </xdr:pic>
    <xdr:clientData/>
  </xdr:twoCellAnchor>
  <xdr:twoCellAnchor editAs="oneCell">
    <xdr:from>
      <xdr:col>1</xdr:col>
      <xdr:colOff>1783897</xdr:colOff>
      <xdr:row>1</xdr:row>
      <xdr:rowOff>24493</xdr:rowOff>
    </xdr:from>
    <xdr:to>
      <xdr:col>2</xdr:col>
      <xdr:colOff>1362</xdr:colOff>
      <xdr:row>2</xdr:row>
      <xdr:rowOff>219075</xdr:rowOff>
    </xdr:to>
    <xdr:pic>
      <xdr:nvPicPr>
        <xdr:cNvPr id="7"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97654" y="209550"/>
          <a:ext cx="1198790" cy="379639"/>
        </a:xfrm>
        <a:prstGeom prst="rect">
          <a:avLst/>
        </a:prstGeom>
      </xdr:spPr>
    </xdr:pic>
    <xdr:clientData/>
  </xdr:twoCellAnchor>
  <xdr:twoCellAnchor editAs="oneCell">
    <xdr:from>
      <xdr:col>1</xdr:col>
      <xdr:colOff>54428</xdr:colOff>
      <xdr:row>1</xdr:row>
      <xdr:rowOff>0</xdr:rowOff>
    </xdr:from>
    <xdr:to>
      <xdr:col>1</xdr:col>
      <xdr:colOff>1578428</xdr:colOff>
      <xdr:row>2</xdr:row>
      <xdr:rowOff>220442</xdr:rowOff>
    </xdr:to>
    <xdr:pic>
      <xdr:nvPicPr>
        <xdr:cNvPr id="8" name="Imatg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8185" y="185057"/>
          <a:ext cx="1524000" cy="405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3148692</xdr:colOff>
      <xdr:row>0</xdr:row>
      <xdr:rowOff>65314</xdr:rowOff>
    </xdr:from>
    <xdr:to>
      <xdr:col>3</xdr:col>
      <xdr:colOff>1389528</xdr:colOff>
      <xdr:row>3</xdr:row>
      <xdr:rowOff>62671</xdr:rowOff>
    </xdr:to>
    <xdr:pic>
      <xdr:nvPicPr>
        <xdr:cNvPr id="11" name="6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1692" y="65314"/>
          <a:ext cx="1389689" cy="913438"/>
        </a:xfrm>
        <a:prstGeom prst="rect">
          <a:avLst/>
        </a:prstGeom>
      </xdr:spPr>
    </xdr:pic>
    <xdr:clientData/>
  </xdr:twoCellAnchor>
  <xdr:twoCellAnchor editAs="oneCell">
    <xdr:from>
      <xdr:col>2</xdr:col>
      <xdr:colOff>1773012</xdr:colOff>
      <xdr:row>1</xdr:row>
      <xdr:rowOff>40820</xdr:rowOff>
    </xdr:from>
    <xdr:to>
      <xdr:col>2</xdr:col>
      <xdr:colOff>2971802</xdr:colOff>
      <xdr:row>1</xdr:row>
      <xdr:rowOff>421099</xdr:rowOff>
    </xdr:to>
    <xdr:pic>
      <xdr:nvPicPr>
        <xdr:cNvPr id="12"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4869" y="225877"/>
          <a:ext cx="1198790" cy="379639"/>
        </a:xfrm>
        <a:prstGeom prst="rect">
          <a:avLst/>
        </a:prstGeom>
      </xdr:spPr>
    </xdr:pic>
    <xdr:clientData/>
  </xdr:twoCellAnchor>
  <xdr:twoCellAnchor editAs="oneCell">
    <xdr:from>
      <xdr:col>2</xdr:col>
      <xdr:colOff>43543</xdr:colOff>
      <xdr:row>1</xdr:row>
      <xdr:rowOff>16327</xdr:rowOff>
    </xdr:from>
    <xdr:to>
      <xdr:col>2</xdr:col>
      <xdr:colOff>1567543</xdr:colOff>
      <xdr:row>1</xdr:row>
      <xdr:rowOff>422466</xdr:rowOff>
    </xdr:to>
    <xdr:pic>
      <xdr:nvPicPr>
        <xdr:cNvPr id="13" name="Imatge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3778" y="573420"/>
          <a:ext cx="1524000" cy="406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609600</xdr:colOff>
      <xdr:row>13</xdr:row>
      <xdr:rowOff>371475</xdr:rowOff>
    </xdr:from>
    <xdr:to>
      <xdr:col>1</xdr:col>
      <xdr:colOff>609600</xdr:colOff>
      <xdr:row>15</xdr:row>
      <xdr:rowOff>76200</xdr:rowOff>
    </xdr:to>
    <xdr:cxnSp macro="">
      <xdr:nvCxnSpPr>
        <xdr:cNvPr id="6" name="Conector recto de flecha 5"/>
        <xdr:cNvCxnSpPr/>
      </xdr:nvCxnSpPr>
      <xdr:spPr>
        <a:xfrm>
          <a:off x="609600" y="6019800"/>
          <a:ext cx="0" cy="466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685800</xdr:colOff>
      <xdr:row>13</xdr:row>
      <xdr:rowOff>361950</xdr:rowOff>
    </xdr:from>
    <xdr:to>
      <xdr:col>8</xdr:col>
      <xdr:colOff>685800</xdr:colOff>
      <xdr:row>15</xdr:row>
      <xdr:rowOff>66675</xdr:rowOff>
    </xdr:to>
    <xdr:cxnSp macro="">
      <xdr:nvCxnSpPr>
        <xdr:cNvPr id="8" name="Conector recto de flecha 7"/>
        <xdr:cNvCxnSpPr/>
      </xdr:nvCxnSpPr>
      <xdr:spPr>
        <a:xfrm>
          <a:off x="17164050" y="6010275"/>
          <a:ext cx="0" cy="466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26</xdr:row>
      <xdr:rowOff>428625</xdr:rowOff>
    </xdr:from>
    <xdr:to>
      <xdr:col>1</xdr:col>
      <xdr:colOff>514350</xdr:colOff>
      <xdr:row>28</xdr:row>
      <xdr:rowOff>133350</xdr:rowOff>
    </xdr:to>
    <xdr:cxnSp macro="">
      <xdr:nvCxnSpPr>
        <xdr:cNvPr id="9" name="Conector recto de flecha 8"/>
        <xdr:cNvCxnSpPr/>
      </xdr:nvCxnSpPr>
      <xdr:spPr>
        <a:xfrm>
          <a:off x="514350" y="12401550"/>
          <a:ext cx="0" cy="466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695325</xdr:colOff>
      <xdr:row>26</xdr:row>
      <xdr:rowOff>419100</xdr:rowOff>
    </xdr:from>
    <xdr:to>
      <xdr:col>8</xdr:col>
      <xdr:colOff>695325</xdr:colOff>
      <xdr:row>28</xdr:row>
      <xdr:rowOff>123825</xdr:rowOff>
    </xdr:to>
    <xdr:cxnSp macro="">
      <xdr:nvCxnSpPr>
        <xdr:cNvPr id="10" name="Conector recto de flecha 9"/>
        <xdr:cNvCxnSpPr/>
      </xdr:nvCxnSpPr>
      <xdr:spPr>
        <a:xfrm>
          <a:off x="17173575" y="12392025"/>
          <a:ext cx="0" cy="466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685800</xdr:colOff>
      <xdr:row>39</xdr:row>
      <xdr:rowOff>419100</xdr:rowOff>
    </xdr:from>
    <xdr:to>
      <xdr:col>8</xdr:col>
      <xdr:colOff>685800</xdr:colOff>
      <xdr:row>41</xdr:row>
      <xdr:rowOff>123825</xdr:rowOff>
    </xdr:to>
    <xdr:cxnSp macro="">
      <xdr:nvCxnSpPr>
        <xdr:cNvPr id="11" name="Conector recto de flecha 10"/>
        <xdr:cNvCxnSpPr/>
      </xdr:nvCxnSpPr>
      <xdr:spPr>
        <a:xfrm>
          <a:off x="17164050" y="18516600"/>
          <a:ext cx="0" cy="466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39</xdr:row>
      <xdr:rowOff>457200</xdr:rowOff>
    </xdr:from>
    <xdr:to>
      <xdr:col>1</xdr:col>
      <xdr:colOff>485775</xdr:colOff>
      <xdr:row>41</xdr:row>
      <xdr:rowOff>161925</xdr:rowOff>
    </xdr:to>
    <xdr:cxnSp macro="">
      <xdr:nvCxnSpPr>
        <xdr:cNvPr id="12" name="Conector recto de flecha 11"/>
        <xdr:cNvCxnSpPr/>
      </xdr:nvCxnSpPr>
      <xdr:spPr>
        <a:xfrm>
          <a:off x="485775" y="18554700"/>
          <a:ext cx="0" cy="466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3932465</xdr:colOff>
      <xdr:row>0</xdr:row>
      <xdr:rowOff>38100</xdr:rowOff>
    </xdr:from>
    <xdr:to>
      <xdr:col>3</xdr:col>
      <xdr:colOff>1007234</xdr:colOff>
      <xdr:row>2</xdr:row>
      <xdr:rowOff>43542</xdr:rowOff>
    </xdr:to>
    <xdr:pic>
      <xdr:nvPicPr>
        <xdr:cNvPr id="16" name="6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6222" y="38100"/>
          <a:ext cx="1086154" cy="713013"/>
        </a:xfrm>
        <a:prstGeom prst="rect">
          <a:avLst/>
        </a:prstGeom>
      </xdr:spPr>
    </xdr:pic>
    <xdr:clientData/>
  </xdr:twoCellAnchor>
  <xdr:twoCellAnchor editAs="oneCell">
    <xdr:from>
      <xdr:col>2</xdr:col>
      <xdr:colOff>2306412</xdr:colOff>
      <xdr:row>1</xdr:row>
      <xdr:rowOff>24491</xdr:rowOff>
    </xdr:from>
    <xdr:to>
      <xdr:col>2</xdr:col>
      <xdr:colOff>3505202</xdr:colOff>
      <xdr:row>1</xdr:row>
      <xdr:rowOff>404130</xdr:rowOff>
    </xdr:to>
    <xdr:pic>
      <xdr:nvPicPr>
        <xdr:cNvPr id="17"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0169" y="209548"/>
          <a:ext cx="1198790" cy="379639"/>
        </a:xfrm>
        <a:prstGeom prst="rect">
          <a:avLst/>
        </a:prstGeom>
      </xdr:spPr>
    </xdr:pic>
    <xdr:clientData/>
  </xdr:twoCellAnchor>
  <xdr:twoCellAnchor editAs="oneCell">
    <xdr:from>
      <xdr:col>2</xdr:col>
      <xdr:colOff>386443</xdr:colOff>
      <xdr:row>1</xdr:row>
      <xdr:rowOff>10883</xdr:rowOff>
    </xdr:from>
    <xdr:to>
      <xdr:col>2</xdr:col>
      <xdr:colOff>1910443</xdr:colOff>
      <xdr:row>1</xdr:row>
      <xdr:rowOff>416382</xdr:rowOff>
    </xdr:to>
    <xdr:pic>
      <xdr:nvPicPr>
        <xdr:cNvPr id="18" name="Imatge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0200" y="195940"/>
          <a:ext cx="1524000" cy="405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2343150</xdr:colOff>
      <xdr:row>0</xdr:row>
      <xdr:rowOff>92529</xdr:rowOff>
    </xdr:from>
    <xdr:to>
      <xdr:col>4</xdr:col>
      <xdr:colOff>985461</xdr:colOff>
      <xdr:row>3</xdr:row>
      <xdr:rowOff>54428</xdr:rowOff>
    </xdr:to>
    <xdr:pic>
      <xdr:nvPicPr>
        <xdr:cNvPr id="5" name="6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364" y="92529"/>
          <a:ext cx="1086154" cy="713013"/>
        </a:xfrm>
        <a:prstGeom prst="rect">
          <a:avLst/>
        </a:prstGeom>
      </xdr:spPr>
    </xdr:pic>
    <xdr:clientData/>
  </xdr:twoCellAnchor>
  <xdr:twoCellAnchor editAs="oneCell">
    <xdr:from>
      <xdr:col>2</xdr:col>
      <xdr:colOff>755198</xdr:colOff>
      <xdr:row>1</xdr:row>
      <xdr:rowOff>84363</xdr:rowOff>
    </xdr:from>
    <xdr:to>
      <xdr:col>2</xdr:col>
      <xdr:colOff>1944463</xdr:colOff>
      <xdr:row>2</xdr:row>
      <xdr:rowOff>278945</xdr:rowOff>
    </xdr:to>
    <xdr:pic>
      <xdr:nvPicPr>
        <xdr:cNvPr id="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9569" y="269420"/>
          <a:ext cx="1198790" cy="379639"/>
        </a:xfrm>
        <a:prstGeom prst="rect">
          <a:avLst/>
        </a:prstGeom>
      </xdr:spPr>
    </xdr:pic>
    <xdr:clientData/>
  </xdr:twoCellAnchor>
  <xdr:twoCellAnchor editAs="oneCell">
    <xdr:from>
      <xdr:col>1</xdr:col>
      <xdr:colOff>76200</xdr:colOff>
      <xdr:row>1</xdr:row>
      <xdr:rowOff>76199</xdr:rowOff>
    </xdr:from>
    <xdr:to>
      <xdr:col>2</xdr:col>
      <xdr:colOff>631372</xdr:colOff>
      <xdr:row>2</xdr:row>
      <xdr:rowOff>296641</xdr:rowOff>
    </xdr:to>
    <xdr:pic>
      <xdr:nvPicPr>
        <xdr:cNvPr id="7" name="Imatg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1743" y="261256"/>
          <a:ext cx="1524000" cy="405499"/>
        </a:xfrm>
        <a:prstGeom prst="rect">
          <a:avLst/>
        </a:prstGeom>
      </xdr:spPr>
    </xdr:pic>
    <xdr:clientData/>
  </xdr:twoCellAnchor>
  <xdr:twoCellAnchor editAs="oneCell">
    <xdr:from>
      <xdr:col>3</xdr:col>
      <xdr:colOff>1281792</xdr:colOff>
      <xdr:row>31</xdr:row>
      <xdr:rowOff>157843</xdr:rowOff>
    </xdr:from>
    <xdr:to>
      <xdr:col>3</xdr:col>
      <xdr:colOff>2301271</xdr:colOff>
      <xdr:row>35</xdr:row>
      <xdr:rowOff>130628</xdr:rowOff>
    </xdr:to>
    <xdr:pic>
      <xdr:nvPicPr>
        <xdr:cNvPr id="8" name="6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9006" y="12099472"/>
          <a:ext cx="1086154" cy="713013"/>
        </a:xfrm>
        <a:prstGeom prst="rect">
          <a:avLst/>
        </a:prstGeom>
      </xdr:spPr>
    </xdr:pic>
    <xdr:clientData/>
  </xdr:twoCellAnchor>
  <xdr:twoCellAnchor editAs="oneCell">
    <xdr:from>
      <xdr:col>2</xdr:col>
      <xdr:colOff>1854654</xdr:colOff>
      <xdr:row>32</xdr:row>
      <xdr:rowOff>176891</xdr:rowOff>
    </xdr:from>
    <xdr:to>
      <xdr:col>3</xdr:col>
      <xdr:colOff>733426</xdr:colOff>
      <xdr:row>35</xdr:row>
      <xdr:rowOff>1359</xdr:rowOff>
    </xdr:to>
    <xdr:pic>
      <xdr:nvPicPr>
        <xdr:cNvPr id="9"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29025" y="12303577"/>
          <a:ext cx="1198790" cy="379639"/>
        </a:xfrm>
        <a:prstGeom prst="rect">
          <a:avLst/>
        </a:prstGeom>
      </xdr:spPr>
    </xdr:pic>
    <xdr:clientData/>
  </xdr:twoCellAnchor>
  <xdr:twoCellAnchor editAs="oneCell">
    <xdr:from>
      <xdr:col>2</xdr:col>
      <xdr:colOff>70757</xdr:colOff>
      <xdr:row>32</xdr:row>
      <xdr:rowOff>163285</xdr:rowOff>
    </xdr:from>
    <xdr:to>
      <xdr:col>2</xdr:col>
      <xdr:colOff>1594757</xdr:colOff>
      <xdr:row>35</xdr:row>
      <xdr:rowOff>13613</xdr:rowOff>
    </xdr:to>
    <xdr:pic>
      <xdr:nvPicPr>
        <xdr:cNvPr id="10" name="Imatg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45128" y="12289971"/>
          <a:ext cx="1524000" cy="405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descat.cat/pub/?id=ib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gdo.cnmc.es/CNE/resumenGdo.do?ani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28"/>
  <sheetViews>
    <sheetView tabSelected="1" zoomScaleNormal="100" workbookViewId="0">
      <selection activeCell="B14" sqref="B14"/>
    </sheetView>
  </sheetViews>
  <sheetFormatPr baseColWidth="10" defaultColWidth="9.140625" defaultRowHeight="15" x14ac:dyDescent="0.25"/>
  <cols>
    <col min="1" max="1" width="17.140625" style="1" customWidth="1"/>
    <col min="2" max="2" width="44.140625" customWidth="1"/>
    <col min="3" max="3" width="32" bestFit="1" customWidth="1"/>
    <col min="4" max="4" width="21.7109375" customWidth="1"/>
    <col min="5" max="5" width="23.140625" style="1" customWidth="1"/>
    <col min="6" max="6" width="13.85546875" style="1" customWidth="1"/>
    <col min="7" max="7" width="10.7109375" customWidth="1"/>
    <col min="8" max="8" width="9.28515625" customWidth="1"/>
  </cols>
  <sheetData>
    <row r="1" spans="1:26" s="1" customFormat="1" x14ac:dyDescent="0.25">
      <c r="C1" s="1" t="s">
        <v>863</v>
      </c>
    </row>
    <row r="2" spans="1:26" s="1" customFormat="1" x14ac:dyDescent="0.25">
      <c r="D2" s="122" t="s">
        <v>901</v>
      </c>
    </row>
    <row r="3" spans="1:26" s="1" customFormat="1" ht="28.7" customHeight="1" x14ac:dyDescent="0.25">
      <c r="D3" s="163" t="s">
        <v>864</v>
      </c>
      <c r="E3" s="163"/>
    </row>
    <row r="4" spans="1:26" s="1" customFormat="1" ht="66.75" customHeight="1" x14ac:dyDescent="0.25">
      <c r="B4" s="167" t="s">
        <v>835</v>
      </c>
      <c r="C4" s="167"/>
      <c r="D4" s="167"/>
      <c r="E4" s="167"/>
    </row>
    <row r="5" spans="1:26" s="1" customFormat="1" ht="28.5" customHeight="1" x14ac:dyDescent="0.25">
      <c r="B5" s="164" t="s">
        <v>404</v>
      </c>
      <c r="C5" s="164"/>
      <c r="D5" s="164"/>
      <c r="E5" s="164"/>
      <c r="F5" s="3"/>
    </row>
    <row r="6" spans="1:26" ht="48.75" customHeight="1" x14ac:dyDescent="0.25">
      <c r="B6" s="165" t="s">
        <v>865</v>
      </c>
      <c r="C6" s="165"/>
      <c r="D6" s="165"/>
      <c r="E6" s="165"/>
      <c r="F6" s="2"/>
      <c r="G6" s="1"/>
      <c r="H6" s="1"/>
      <c r="I6" s="1"/>
      <c r="J6" s="1"/>
      <c r="K6" s="1"/>
      <c r="L6" s="1"/>
      <c r="M6" s="1"/>
      <c r="N6" s="1"/>
      <c r="O6" s="1"/>
      <c r="P6" s="1"/>
      <c r="Q6" s="1"/>
      <c r="R6" s="1"/>
      <c r="S6" s="1"/>
      <c r="T6" s="1"/>
      <c r="U6" s="1"/>
      <c r="V6" s="1"/>
      <c r="W6" s="1"/>
      <c r="X6" s="1"/>
      <c r="Y6" s="1"/>
      <c r="Z6" s="1"/>
    </row>
    <row r="7" spans="1:26" s="1" customFormat="1" ht="25.7" customHeight="1" x14ac:dyDescent="0.25">
      <c r="A7" s="3"/>
      <c r="B7" s="166"/>
      <c r="C7" s="166"/>
      <c r="D7" s="166"/>
      <c r="E7" s="166"/>
    </row>
    <row r="8" spans="1:26" s="1" customFormat="1" ht="15.4" customHeight="1" x14ac:dyDescent="0.25">
      <c r="B8" s="166"/>
      <c r="C8" s="166"/>
      <c r="D8" s="166"/>
      <c r="E8" s="166"/>
    </row>
    <row r="9" spans="1:26" s="1" customFormat="1" ht="11.25" customHeight="1" x14ac:dyDescent="0.25">
      <c r="B9" s="166"/>
      <c r="C9" s="166"/>
      <c r="D9" s="166"/>
      <c r="E9" s="166"/>
    </row>
    <row r="10" spans="1:26" s="1" customFormat="1" ht="24" customHeight="1" x14ac:dyDescent="0.25">
      <c r="B10" s="164" t="s">
        <v>14</v>
      </c>
      <c r="C10" s="164"/>
      <c r="D10" s="164"/>
      <c r="E10" s="164"/>
    </row>
    <row r="11" spans="1:26" s="1" customFormat="1" ht="67.5" customHeight="1" x14ac:dyDescent="0.25">
      <c r="B11" s="165" t="s">
        <v>866</v>
      </c>
      <c r="C11" s="165"/>
      <c r="D11" s="165"/>
      <c r="E11" s="165"/>
    </row>
    <row r="12" spans="1:26" s="1" customFormat="1" ht="57.75" customHeight="1" x14ac:dyDescent="0.25">
      <c r="B12" s="166"/>
      <c r="C12" s="166"/>
      <c r="D12" s="166"/>
      <c r="E12" s="166"/>
    </row>
    <row r="13" spans="1:26" s="1" customFormat="1" ht="58.5" customHeight="1" x14ac:dyDescent="0.25">
      <c r="B13" s="166"/>
      <c r="C13" s="166"/>
      <c r="D13" s="166"/>
      <c r="E13" s="166"/>
      <c r="F13" s="3"/>
    </row>
    <row r="14" spans="1:26" s="1" customFormat="1" x14ac:dyDescent="0.25"/>
    <row r="15" spans="1:26" ht="30" customHeight="1" x14ac:dyDescent="0.25">
      <c r="B15" s="1"/>
      <c r="C15" s="1"/>
      <c r="D15" s="1"/>
      <c r="G15" s="1"/>
      <c r="H15" s="1"/>
      <c r="I15" s="1"/>
      <c r="J15" s="1"/>
      <c r="K15" s="1"/>
      <c r="L15" s="1"/>
      <c r="M15" s="1"/>
    </row>
    <row r="16" spans="1:26" ht="31.5" customHeight="1" x14ac:dyDescent="0.25">
      <c r="B16" s="1"/>
      <c r="C16" s="1"/>
      <c r="D16" s="1"/>
      <c r="G16" s="1"/>
      <c r="H16" s="1"/>
      <c r="I16" s="1"/>
      <c r="J16" s="1"/>
      <c r="K16" s="1"/>
      <c r="L16" s="1"/>
      <c r="M16" s="1"/>
    </row>
    <row r="17" spans="2:13" ht="33" customHeight="1" x14ac:dyDescent="0.25">
      <c r="B17" s="1"/>
      <c r="C17" s="1"/>
      <c r="D17" s="1"/>
      <c r="G17" s="1"/>
      <c r="H17" s="1"/>
      <c r="I17" s="1"/>
      <c r="J17" s="1"/>
      <c r="K17" s="1"/>
      <c r="L17" s="1"/>
      <c r="M17" s="1"/>
    </row>
    <row r="18" spans="2:13" ht="35.25" customHeight="1" x14ac:dyDescent="0.25">
      <c r="B18" s="1"/>
      <c r="C18" s="1"/>
      <c r="D18" s="1"/>
      <c r="G18" s="1"/>
      <c r="H18" s="1"/>
      <c r="I18" s="1"/>
      <c r="J18" s="1"/>
      <c r="K18" s="1"/>
      <c r="L18" s="1"/>
      <c r="M18" s="1"/>
    </row>
    <row r="19" spans="2:13" x14ac:dyDescent="0.25">
      <c r="B19" s="1"/>
      <c r="C19" s="1"/>
      <c r="D19" s="1"/>
      <c r="G19" s="1"/>
      <c r="H19" s="1"/>
      <c r="I19" s="1"/>
      <c r="J19" s="1"/>
      <c r="K19" s="1"/>
      <c r="L19" s="1"/>
      <c r="M19" s="1"/>
    </row>
    <row r="20" spans="2:13" x14ac:dyDescent="0.25">
      <c r="B20" s="1"/>
      <c r="C20" s="1"/>
      <c r="D20" s="1"/>
      <c r="G20" s="1"/>
      <c r="H20" s="1"/>
      <c r="I20" s="1"/>
      <c r="J20" s="1"/>
      <c r="K20" s="1"/>
      <c r="L20" s="1"/>
      <c r="M20" s="1"/>
    </row>
    <row r="21" spans="2:13" x14ac:dyDescent="0.25">
      <c r="B21" s="1"/>
      <c r="C21" s="1"/>
      <c r="D21" s="1"/>
      <c r="G21" s="1"/>
      <c r="H21" s="1"/>
      <c r="I21" s="1"/>
      <c r="J21" s="1"/>
      <c r="K21" s="1"/>
      <c r="L21" s="1"/>
      <c r="M21" s="1"/>
    </row>
    <row r="22" spans="2:13" x14ac:dyDescent="0.25">
      <c r="B22" s="1"/>
      <c r="C22" s="1"/>
      <c r="D22" s="1"/>
      <c r="G22" s="1"/>
      <c r="H22" s="1"/>
      <c r="I22" s="1"/>
      <c r="J22" s="1"/>
      <c r="K22" s="1"/>
      <c r="L22" s="1"/>
      <c r="M22" s="1"/>
    </row>
    <row r="23" spans="2:13" x14ac:dyDescent="0.25">
      <c r="B23" s="1"/>
      <c r="C23" s="1"/>
      <c r="D23" s="1"/>
      <c r="G23" s="1"/>
      <c r="H23" s="1"/>
      <c r="I23" s="1"/>
      <c r="J23" s="1"/>
      <c r="K23" s="1"/>
      <c r="L23" s="1"/>
      <c r="M23" s="1"/>
    </row>
    <row r="24" spans="2:13" x14ac:dyDescent="0.25">
      <c r="B24" s="1"/>
      <c r="C24" s="1"/>
      <c r="D24" s="1"/>
      <c r="G24" s="1"/>
      <c r="H24" s="1"/>
      <c r="I24" s="1"/>
      <c r="J24" s="1"/>
      <c r="K24" s="1"/>
      <c r="L24" s="1"/>
      <c r="M24" s="1"/>
    </row>
    <row r="25" spans="2:13" x14ac:dyDescent="0.25">
      <c r="B25" s="1"/>
      <c r="C25" s="1"/>
      <c r="D25" s="1"/>
      <c r="G25" s="1"/>
      <c r="H25" s="1"/>
      <c r="I25" s="1"/>
      <c r="J25" s="1"/>
      <c r="K25" s="1"/>
      <c r="L25" s="1"/>
      <c r="M25" s="1"/>
    </row>
    <row r="26" spans="2:13" x14ac:dyDescent="0.25">
      <c r="B26" s="1"/>
      <c r="C26" s="1"/>
      <c r="D26" s="1"/>
      <c r="G26" s="1"/>
      <c r="H26" s="1"/>
      <c r="I26" s="1"/>
      <c r="J26" s="1"/>
      <c r="K26" s="1"/>
      <c r="L26" s="1"/>
      <c r="M26" s="1"/>
    </row>
    <row r="27" spans="2:13" x14ac:dyDescent="0.25">
      <c r="B27" s="1"/>
      <c r="C27" s="1"/>
      <c r="D27" s="1"/>
      <c r="G27" s="1"/>
      <c r="H27" s="1"/>
      <c r="I27" s="1"/>
      <c r="J27" s="1"/>
      <c r="K27" s="1"/>
      <c r="L27" s="1"/>
      <c r="M27" s="1"/>
    </row>
    <row r="28" spans="2:13" x14ac:dyDescent="0.25">
      <c r="B28" s="1"/>
      <c r="C28" s="1"/>
      <c r="D28" s="1"/>
      <c r="G28" s="1"/>
      <c r="H28" s="1"/>
      <c r="I28" s="1"/>
      <c r="J28" s="1"/>
      <c r="K28" s="1"/>
      <c r="L28" s="1"/>
      <c r="M28" s="1"/>
    </row>
  </sheetData>
  <sheetProtection sheet="1" objects="1" scenarios="1"/>
  <mergeCells count="6">
    <mergeCell ref="D3:E3"/>
    <mergeCell ref="B5:E5"/>
    <mergeCell ref="B10:E10"/>
    <mergeCell ref="B6:E9"/>
    <mergeCell ref="B11:E13"/>
    <mergeCell ref="B4:E4"/>
  </mergeCells>
  <dataValidations count="2">
    <dataValidation type="list" allowBlank="1" showInputMessage="1" showErrorMessage="1" sqref="C27:D27">
      <formula1>"30,40,50,60,70,80,90,95,100"</formula1>
    </dataValidation>
    <dataValidation type="list" allowBlank="1" showInputMessage="1" showErrorMessage="1" sqref="C26:D26 C14">
      <formula1>"Si,No"</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B80"/>
  <sheetViews>
    <sheetView topLeftCell="A16" zoomScaleNormal="100" workbookViewId="0">
      <selection activeCell="D17" sqref="D17"/>
    </sheetView>
  </sheetViews>
  <sheetFormatPr baseColWidth="10" defaultColWidth="9.140625" defaultRowHeight="15" x14ac:dyDescent="0.25"/>
  <cols>
    <col min="1" max="1" width="9.5703125" customWidth="1"/>
    <col min="2" max="2" width="7.5703125" style="135" customWidth="1"/>
    <col min="3" max="3" width="47.28515625" customWidth="1"/>
    <col min="4" max="4" width="32" bestFit="1" customWidth="1"/>
    <col min="5" max="5" width="33.85546875" customWidth="1"/>
    <col min="6" max="6" width="58" style="1" bestFit="1" customWidth="1"/>
    <col min="7" max="7" width="40.5703125" style="1" customWidth="1"/>
    <col min="8" max="8" width="42.42578125" style="1" customWidth="1"/>
    <col min="9" max="9" width="10.7109375" customWidth="1"/>
    <col min="10" max="10" width="9.28515625" customWidth="1"/>
  </cols>
  <sheetData>
    <row r="1" spans="1:28" s="1" customFormat="1" ht="16.350000000000001" customHeight="1" x14ac:dyDescent="0.25">
      <c r="B1" s="129"/>
      <c r="D1" s="1" t="s">
        <v>863</v>
      </c>
    </row>
    <row r="2" spans="1:28" s="1" customFormat="1" ht="41.25" customHeight="1" x14ac:dyDescent="0.25">
      <c r="B2" s="129"/>
      <c r="D2" s="122"/>
      <c r="E2" s="136"/>
    </row>
    <row r="3" spans="1:28" s="1" customFormat="1" ht="15" customHeight="1" x14ac:dyDescent="0.25">
      <c r="B3" s="129"/>
      <c r="D3" s="123"/>
    </row>
    <row r="4" spans="1:28" s="1" customFormat="1" ht="31.5" x14ac:dyDescent="0.25">
      <c r="B4" s="127" t="s">
        <v>880</v>
      </c>
      <c r="C4" s="8" t="s">
        <v>5</v>
      </c>
      <c r="D4" s="126" t="s">
        <v>3</v>
      </c>
      <c r="E4" s="168" t="s">
        <v>9</v>
      </c>
      <c r="F4" s="169"/>
      <c r="G4" s="155" t="s">
        <v>900</v>
      </c>
    </row>
    <row r="5" spans="1:28" s="1" customFormat="1" ht="47.25" customHeight="1" x14ac:dyDescent="0.25">
      <c r="B5" s="130" t="s">
        <v>869</v>
      </c>
      <c r="C5" s="6" t="s">
        <v>399</v>
      </c>
      <c r="D5" s="125" t="s">
        <v>66</v>
      </c>
      <c r="E5" s="172" t="s">
        <v>867</v>
      </c>
      <c r="F5" s="173"/>
      <c r="G5" s="156"/>
      <c r="H5" s="3"/>
    </row>
    <row r="6" spans="1:28" ht="67.5" customHeight="1" x14ac:dyDescent="0.25">
      <c r="A6" s="1"/>
      <c r="B6" s="130" t="s">
        <v>870</v>
      </c>
      <c r="C6" s="6" t="s">
        <v>844</v>
      </c>
      <c r="D6" s="26">
        <f>IF(D5="","",VLOOKUP(D5,'Base de dades Municipis'!B2:G717,6,TRUE))</f>
        <v>563.69998630699718</v>
      </c>
      <c r="E6" s="170" t="s">
        <v>878</v>
      </c>
      <c r="F6" s="171"/>
      <c r="G6" s="157"/>
      <c r="H6" s="2"/>
      <c r="I6" s="1"/>
      <c r="J6" s="1"/>
      <c r="K6" s="1"/>
      <c r="L6" s="1"/>
      <c r="M6" s="1"/>
      <c r="N6" s="1"/>
      <c r="O6" s="1"/>
      <c r="P6" s="1"/>
      <c r="Q6" s="1"/>
      <c r="R6" s="1"/>
      <c r="S6" s="1"/>
      <c r="T6" s="1"/>
      <c r="U6" s="1"/>
      <c r="V6" s="1"/>
      <c r="W6" s="1"/>
      <c r="X6" s="1"/>
      <c r="Y6" s="1"/>
      <c r="Z6" s="1"/>
      <c r="AA6" s="1"/>
      <c r="AB6" s="1"/>
    </row>
    <row r="7" spans="1:28" s="1" customFormat="1" ht="54.75" customHeight="1" x14ac:dyDescent="0.25">
      <c r="B7" s="130" t="s">
        <v>871</v>
      </c>
      <c r="C7" s="18" t="s">
        <v>859</v>
      </c>
      <c r="D7" s="27">
        <f>IF(D5="","",VLOOKUP(D5,'Base de dades Municipis'!B2:G717,3,TRUE))</f>
        <v>7303</v>
      </c>
      <c r="E7" s="170" t="s">
        <v>879</v>
      </c>
      <c r="F7" s="171"/>
      <c r="G7" s="157"/>
    </row>
    <row r="8" spans="1:28" s="1" customFormat="1" ht="66.75" customHeight="1" x14ac:dyDescent="0.25">
      <c r="B8" s="130" t="s">
        <v>872</v>
      </c>
      <c r="C8" s="6" t="s">
        <v>4</v>
      </c>
      <c r="D8" s="97">
        <v>3.5</v>
      </c>
      <c r="E8" s="170" t="s">
        <v>883</v>
      </c>
      <c r="F8" s="171"/>
      <c r="G8" s="157"/>
    </row>
    <row r="9" spans="1:28" s="1" customFormat="1" ht="58.5" customHeight="1" x14ac:dyDescent="0.25">
      <c r="B9" s="130" t="s">
        <v>873</v>
      </c>
      <c r="C9" s="18" t="s">
        <v>885</v>
      </c>
      <c r="D9" s="98">
        <v>50</v>
      </c>
      <c r="E9" s="170" t="s">
        <v>884</v>
      </c>
      <c r="F9" s="171"/>
      <c r="G9" s="157"/>
    </row>
    <row r="10" spans="1:28" s="1" customFormat="1" ht="67.5" customHeight="1" x14ac:dyDescent="0.25">
      <c r="B10" s="130" t="s">
        <v>874</v>
      </c>
      <c r="C10" s="18" t="s">
        <v>886</v>
      </c>
      <c r="D10" s="98">
        <v>10</v>
      </c>
      <c r="E10" s="170" t="s">
        <v>860</v>
      </c>
      <c r="F10" s="171"/>
      <c r="G10" s="157"/>
    </row>
    <row r="11" spans="1:28" s="1" customFormat="1" ht="57.75" customHeight="1" x14ac:dyDescent="0.25">
      <c r="B11" s="131" t="s">
        <v>875</v>
      </c>
      <c r="C11" s="80" t="s">
        <v>887</v>
      </c>
      <c r="D11" s="99">
        <v>10</v>
      </c>
      <c r="E11" s="177" t="s">
        <v>845</v>
      </c>
      <c r="F11" s="178"/>
      <c r="G11" s="158"/>
    </row>
    <row r="12" spans="1:28" s="1" customFormat="1" ht="57.75" customHeight="1" x14ac:dyDescent="0.25">
      <c r="B12" s="132" t="s">
        <v>876</v>
      </c>
      <c r="C12" s="137" t="s">
        <v>812</v>
      </c>
      <c r="D12" s="138">
        <f>IF(D8="","",D8*1000*2)</f>
        <v>7000</v>
      </c>
      <c r="E12" s="179" t="s">
        <v>858</v>
      </c>
    </row>
    <row r="13" spans="1:28" s="1" customFormat="1" ht="57.75" customHeight="1" x14ac:dyDescent="0.25">
      <c r="B13" s="133" t="s">
        <v>877</v>
      </c>
      <c r="C13" s="81" t="s">
        <v>813</v>
      </c>
      <c r="D13" s="138">
        <f>IF(D12="","",D12*(D11+D10+D9))</f>
        <v>490000</v>
      </c>
      <c r="E13" s="180"/>
    </row>
    <row r="14" spans="1:28" s="1" customFormat="1" x14ac:dyDescent="0.25">
      <c r="B14" s="129"/>
      <c r="F14" s="3"/>
      <c r="H14" s="3"/>
    </row>
    <row r="15" spans="1:28" s="1" customFormat="1" x14ac:dyDescent="0.25">
      <c r="B15" s="129"/>
      <c r="F15" s="3"/>
      <c r="H15" s="3"/>
    </row>
    <row r="16" spans="1:28" s="1" customFormat="1" ht="30.75" customHeight="1" x14ac:dyDescent="0.25">
      <c r="B16" s="127" t="s">
        <v>868</v>
      </c>
      <c r="C16" s="8" t="s">
        <v>6</v>
      </c>
      <c r="D16" s="126" t="s">
        <v>7</v>
      </c>
      <c r="E16" s="139" t="s">
        <v>8</v>
      </c>
      <c r="F16" s="7" t="s">
        <v>9</v>
      </c>
      <c r="G16" s="155" t="s">
        <v>900</v>
      </c>
    </row>
    <row r="17" spans="1:16" s="1" customFormat="1" ht="66" x14ac:dyDescent="0.25">
      <c r="B17" s="130" t="s">
        <v>837</v>
      </c>
      <c r="C17" s="12" t="s">
        <v>836</v>
      </c>
      <c r="D17" s="140" t="s">
        <v>2</v>
      </c>
      <c r="E17" s="148" t="s">
        <v>898</v>
      </c>
      <c r="F17" s="13" t="s">
        <v>11</v>
      </c>
      <c r="G17" s="156"/>
    </row>
    <row r="18" spans="1:16" ht="30" customHeight="1" x14ac:dyDescent="0.25">
      <c r="A18" s="1"/>
      <c r="B18" s="134" t="s">
        <v>838</v>
      </c>
      <c r="C18" s="10" t="s">
        <v>10</v>
      </c>
      <c r="D18" s="140" t="s">
        <v>2</v>
      </c>
      <c r="E18" s="142"/>
      <c r="F18" s="14" t="s">
        <v>59</v>
      </c>
      <c r="G18" s="157"/>
      <c r="I18" s="1"/>
      <c r="J18" s="1"/>
      <c r="K18" s="1"/>
      <c r="L18" s="1"/>
      <c r="M18" s="1"/>
      <c r="N18" s="1"/>
      <c r="O18" s="1"/>
    </row>
    <row r="19" spans="1:16" ht="31.5" customHeight="1" x14ac:dyDescent="0.25">
      <c r="A19" s="1"/>
      <c r="B19" s="134" t="s">
        <v>839</v>
      </c>
      <c r="C19" s="11" t="s">
        <v>0</v>
      </c>
      <c r="D19" s="140" t="s">
        <v>2</v>
      </c>
      <c r="E19" s="143"/>
      <c r="F19" s="14" t="s">
        <v>60</v>
      </c>
      <c r="G19" s="157"/>
      <c r="I19" s="1"/>
      <c r="J19" s="1"/>
      <c r="K19" s="1"/>
      <c r="L19" s="1"/>
      <c r="M19" s="1"/>
      <c r="N19" s="1"/>
      <c r="O19" s="1"/>
    </row>
    <row r="20" spans="1:16" ht="31.5" customHeight="1" x14ac:dyDescent="0.25">
      <c r="A20" s="1"/>
      <c r="B20" s="134" t="s">
        <v>840</v>
      </c>
      <c r="C20" s="11" t="s">
        <v>401</v>
      </c>
      <c r="D20" s="140" t="s">
        <v>2</v>
      </c>
      <c r="E20" s="144"/>
      <c r="F20" s="14" t="s">
        <v>400</v>
      </c>
      <c r="G20" s="157"/>
      <c r="I20" s="1"/>
      <c r="J20" s="1"/>
      <c r="K20" s="1"/>
      <c r="L20" s="1"/>
      <c r="M20" s="1"/>
      <c r="N20" s="1"/>
      <c r="O20" s="1"/>
    </row>
    <row r="21" spans="1:16" ht="33" customHeight="1" x14ac:dyDescent="0.25">
      <c r="A21" s="1"/>
      <c r="B21" s="134" t="s">
        <v>841</v>
      </c>
      <c r="C21" s="11" t="s">
        <v>814</v>
      </c>
      <c r="D21" s="140" t="s">
        <v>2</v>
      </c>
      <c r="E21" s="144">
        <v>1000</v>
      </c>
      <c r="F21" s="14" t="s">
        <v>13</v>
      </c>
      <c r="G21" s="157"/>
      <c r="I21" s="1"/>
      <c r="J21" s="1"/>
      <c r="K21" s="1"/>
      <c r="L21" s="1"/>
      <c r="M21" s="1"/>
      <c r="N21" s="1"/>
      <c r="O21" s="1"/>
    </row>
    <row r="22" spans="1:16" ht="33" customHeight="1" x14ac:dyDescent="0.25">
      <c r="A22" s="1"/>
      <c r="B22" s="134" t="s">
        <v>842</v>
      </c>
      <c r="C22" s="11" t="s">
        <v>815</v>
      </c>
      <c r="D22" s="140" t="s">
        <v>2</v>
      </c>
      <c r="E22" s="145"/>
      <c r="F22" s="79" t="s">
        <v>817</v>
      </c>
      <c r="G22" s="157"/>
      <c r="I22" s="1"/>
      <c r="J22" s="1"/>
      <c r="K22" s="1"/>
      <c r="L22" s="1"/>
      <c r="M22" s="1"/>
      <c r="N22" s="1"/>
      <c r="O22" s="95" t="s">
        <v>816</v>
      </c>
      <c r="P22" s="96">
        <f>IF(D21="Si",E21,IF(D22="Si",E22/100*D12,0))</f>
        <v>0</v>
      </c>
    </row>
    <row r="23" spans="1:16" ht="57.75" x14ac:dyDescent="0.25">
      <c r="A23" s="1"/>
      <c r="B23" s="134" t="s">
        <v>843</v>
      </c>
      <c r="C23" s="11" t="s">
        <v>12</v>
      </c>
      <c r="D23" s="141" t="s">
        <v>2</v>
      </c>
      <c r="E23" s="146"/>
      <c r="F23" s="14" t="s">
        <v>810</v>
      </c>
      <c r="G23" s="157"/>
      <c r="I23" s="1"/>
      <c r="J23" s="1"/>
      <c r="K23" s="1"/>
      <c r="L23" s="1"/>
      <c r="M23" s="1"/>
      <c r="N23" s="1"/>
      <c r="O23" s="1"/>
    </row>
    <row r="24" spans="1:16" ht="65.25" customHeight="1" x14ac:dyDescent="0.25">
      <c r="A24" s="1"/>
      <c r="B24" s="130" t="s">
        <v>881</v>
      </c>
      <c r="C24" s="12" t="s">
        <v>63</v>
      </c>
      <c r="D24" s="140" t="s">
        <v>1</v>
      </c>
      <c r="E24" s="147"/>
      <c r="F24" s="93" t="s">
        <v>811</v>
      </c>
      <c r="G24" s="157"/>
      <c r="I24" s="1"/>
      <c r="J24" s="1"/>
      <c r="K24" s="1"/>
      <c r="L24" s="1"/>
      <c r="M24" s="1"/>
      <c r="N24" s="1"/>
      <c r="O24" s="1"/>
    </row>
    <row r="25" spans="1:16" ht="54" x14ac:dyDescent="0.25">
      <c r="A25" s="1"/>
      <c r="B25" s="130" t="s">
        <v>882</v>
      </c>
      <c r="C25" s="12" t="s">
        <v>15</v>
      </c>
      <c r="D25" s="140" t="s">
        <v>2</v>
      </c>
      <c r="E25" s="100" t="s">
        <v>897</v>
      </c>
      <c r="F25" s="94" t="s">
        <v>64</v>
      </c>
      <c r="G25" s="158"/>
      <c r="I25" s="1"/>
      <c r="J25" s="1"/>
      <c r="K25" s="1"/>
      <c r="L25" s="1"/>
      <c r="M25" s="1"/>
      <c r="N25" s="1"/>
      <c r="O25" s="1"/>
    </row>
    <row r="26" spans="1:16" ht="21" customHeight="1" x14ac:dyDescent="0.25">
      <c r="A26" s="1"/>
      <c r="B26" s="129"/>
      <c r="C26" s="1"/>
      <c r="D26" s="1"/>
      <c r="E26" s="1"/>
      <c r="I26" s="1"/>
      <c r="J26" s="1"/>
      <c r="K26" s="1"/>
      <c r="L26" s="1"/>
      <c r="M26" s="1"/>
      <c r="N26" s="1"/>
      <c r="O26" s="1"/>
    </row>
    <row r="27" spans="1:16" x14ac:dyDescent="0.25">
      <c r="A27" s="1"/>
      <c r="B27" s="129"/>
      <c r="C27" s="1"/>
      <c r="D27" s="1"/>
      <c r="E27" s="1"/>
      <c r="I27" s="1"/>
      <c r="J27" s="1"/>
      <c r="K27" s="1"/>
      <c r="L27" s="1"/>
      <c r="M27" s="1"/>
      <c r="N27" s="1"/>
      <c r="O27" s="1"/>
    </row>
    <row r="28" spans="1:16" ht="37.5" x14ac:dyDescent="0.25">
      <c r="A28" s="1"/>
      <c r="B28" s="128"/>
      <c r="C28" s="9" t="s">
        <v>21</v>
      </c>
      <c r="D28" s="126" t="s">
        <v>7</v>
      </c>
      <c r="E28" s="4" t="s">
        <v>20</v>
      </c>
      <c r="F28" s="17" t="s">
        <v>25</v>
      </c>
      <c r="G28" s="17" t="s">
        <v>26</v>
      </c>
      <c r="H28" s="7" t="s">
        <v>9</v>
      </c>
      <c r="I28" s="1"/>
      <c r="J28" s="1"/>
      <c r="K28" s="1"/>
      <c r="L28" s="1"/>
      <c r="M28" s="1"/>
      <c r="N28" s="1"/>
      <c r="O28" s="1"/>
    </row>
    <row r="29" spans="1:16" ht="30" x14ac:dyDescent="0.25">
      <c r="A29" s="1"/>
      <c r="B29" s="130" t="s">
        <v>888</v>
      </c>
      <c r="C29" s="12" t="s">
        <v>17</v>
      </c>
      <c r="D29" s="140"/>
      <c r="E29" s="28" t="s">
        <v>10</v>
      </c>
      <c r="F29" s="29"/>
      <c r="G29" s="29"/>
      <c r="H29" s="174" t="s">
        <v>24</v>
      </c>
      <c r="I29" s="1"/>
      <c r="J29" s="1"/>
      <c r="K29" s="1"/>
      <c r="L29" s="1"/>
      <c r="M29" s="1"/>
      <c r="N29" s="1"/>
      <c r="O29" s="1"/>
    </row>
    <row r="30" spans="1:16" ht="30" x14ac:dyDescent="0.25">
      <c r="A30" s="1"/>
      <c r="B30" s="130" t="s">
        <v>889</v>
      </c>
      <c r="C30" s="12" t="s">
        <v>18</v>
      </c>
      <c r="D30" s="140"/>
      <c r="E30" s="28" t="s">
        <v>0</v>
      </c>
      <c r="F30" s="29"/>
      <c r="G30" s="29"/>
      <c r="H30" s="175"/>
      <c r="I30" s="1"/>
      <c r="J30" s="1"/>
      <c r="K30" s="1"/>
      <c r="L30" s="1"/>
      <c r="M30" s="1"/>
      <c r="N30" s="1"/>
      <c r="O30" s="1"/>
    </row>
    <row r="31" spans="1:16" ht="30" x14ac:dyDescent="0.25">
      <c r="A31" s="1"/>
      <c r="B31" s="130" t="s">
        <v>890</v>
      </c>
      <c r="C31" s="12" t="s">
        <v>19</v>
      </c>
      <c r="D31" s="140"/>
      <c r="E31" s="28"/>
      <c r="F31" s="29"/>
      <c r="G31" s="29"/>
      <c r="H31" s="176"/>
      <c r="I31" s="1"/>
      <c r="J31" s="1"/>
      <c r="K31" s="1"/>
      <c r="L31" s="1"/>
      <c r="M31" s="1"/>
      <c r="N31" s="1"/>
      <c r="O31" s="1"/>
    </row>
    <row r="32" spans="1:16" x14ac:dyDescent="0.25">
      <c r="A32" s="1"/>
      <c r="B32" s="129"/>
      <c r="C32" s="1"/>
      <c r="D32" s="1"/>
      <c r="E32" s="1"/>
      <c r="I32" s="1"/>
      <c r="J32" s="1"/>
      <c r="K32" s="1"/>
      <c r="L32" s="1"/>
      <c r="M32" s="1"/>
      <c r="N32" s="1"/>
      <c r="O32" s="1"/>
    </row>
    <row r="33" spans="1:16" x14ac:dyDescent="0.25">
      <c r="A33" s="1"/>
      <c r="B33" s="129"/>
      <c r="C33" s="1"/>
      <c r="D33" s="1"/>
      <c r="E33" s="1"/>
      <c r="I33" s="1"/>
      <c r="J33" s="1"/>
      <c r="K33" s="1"/>
      <c r="L33" s="1"/>
      <c r="M33" s="1"/>
      <c r="N33" s="1"/>
      <c r="O33" s="1"/>
    </row>
    <row r="34" spans="1:16" ht="31.5" x14ac:dyDescent="0.25">
      <c r="A34" s="1"/>
      <c r="B34" s="128"/>
      <c r="C34" s="15" t="s">
        <v>22</v>
      </c>
      <c r="D34" s="126" t="s">
        <v>7</v>
      </c>
      <c r="E34" s="4" t="s">
        <v>8</v>
      </c>
      <c r="F34" s="7" t="s">
        <v>9</v>
      </c>
      <c r="G34" s="155" t="s">
        <v>900</v>
      </c>
      <c r="I34" s="1"/>
      <c r="J34" s="1"/>
      <c r="K34" s="1"/>
      <c r="L34" s="1"/>
      <c r="M34" s="1"/>
      <c r="N34" s="1"/>
      <c r="O34" s="1"/>
    </row>
    <row r="35" spans="1:16" ht="30" customHeight="1" x14ac:dyDescent="0.25">
      <c r="A35" s="1"/>
      <c r="B35" s="130" t="s">
        <v>891</v>
      </c>
      <c r="C35" s="12" t="s">
        <v>23</v>
      </c>
      <c r="D35" s="19"/>
      <c r="E35" s="34">
        <v>10</v>
      </c>
      <c r="F35" s="16" t="s">
        <v>33</v>
      </c>
      <c r="G35" s="156"/>
      <c r="I35" s="1"/>
      <c r="J35" s="1"/>
      <c r="K35" s="1"/>
      <c r="L35" s="1"/>
      <c r="M35" s="1"/>
      <c r="N35" s="1"/>
      <c r="O35" s="1"/>
    </row>
    <row r="36" spans="1:16" ht="38.25" customHeight="1" x14ac:dyDescent="0.25">
      <c r="A36" s="1"/>
      <c r="B36" s="130" t="s">
        <v>892</v>
      </c>
      <c r="C36" s="12" t="s">
        <v>28</v>
      </c>
      <c r="D36" s="140" t="s">
        <v>2</v>
      </c>
      <c r="E36" s="30">
        <v>5</v>
      </c>
      <c r="F36" s="16" t="s">
        <v>30</v>
      </c>
      <c r="G36" s="157"/>
      <c r="I36" s="1"/>
      <c r="J36" s="1"/>
      <c r="K36" s="1"/>
      <c r="L36" s="1"/>
      <c r="M36" s="1"/>
      <c r="N36" s="1"/>
      <c r="O36" s="1"/>
    </row>
    <row r="37" spans="1:16" ht="39.75" customHeight="1" x14ac:dyDescent="0.25">
      <c r="A37" s="1"/>
      <c r="B37" s="130" t="s">
        <v>893</v>
      </c>
      <c r="C37" s="12" t="s">
        <v>27</v>
      </c>
      <c r="D37" s="140" t="s">
        <v>2</v>
      </c>
      <c r="E37" s="31">
        <v>35</v>
      </c>
      <c r="F37" s="16" t="s">
        <v>32</v>
      </c>
      <c r="G37" s="157"/>
      <c r="I37" s="1"/>
      <c r="J37" s="1"/>
      <c r="K37" s="1"/>
      <c r="L37" s="1"/>
      <c r="M37" s="1"/>
      <c r="N37" s="1"/>
      <c r="O37" s="1"/>
    </row>
    <row r="38" spans="1:16" ht="37.5" customHeight="1" x14ac:dyDescent="0.25">
      <c r="A38" s="1"/>
      <c r="B38" s="130" t="s">
        <v>894</v>
      </c>
      <c r="C38" s="12" t="s">
        <v>29</v>
      </c>
      <c r="D38" s="140" t="s">
        <v>2</v>
      </c>
      <c r="E38" s="32"/>
      <c r="F38" s="16" t="s">
        <v>31</v>
      </c>
      <c r="G38" s="157"/>
      <c r="I38" s="1"/>
      <c r="J38" s="1"/>
      <c r="K38" s="1"/>
      <c r="L38" s="1"/>
      <c r="M38" s="1"/>
      <c r="N38" s="1"/>
      <c r="O38" s="1"/>
    </row>
    <row r="39" spans="1:16" ht="37.5" customHeight="1" x14ac:dyDescent="0.25">
      <c r="A39" s="1"/>
      <c r="B39" s="181" t="s">
        <v>895</v>
      </c>
      <c r="C39" s="183" t="s">
        <v>65</v>
      </c>
      <c r="D39" s="185" t="s">
        <v>2</v>
      </c>
      <c r="E39" s="32"/>
      <c r="F39" s="79" t="s">
        <v>818</v>
      </c>
      <c r="G39" s="157"/>
      <c r="I39" s="1"/>
      <c r="J39" s="1"/>
      <c r="K39" s="1"/>
      <c r="L39" s="1"/>
      <c r="M39" s="1"/>
      <c r="N39" s="1"/>
      <c r="O39" s="95" t="s">
        <v>816</v>
      </c>
      <c r="P39" s="96">
        <f>MAX(E39,E40/100*D12)</f>
        <v>0</v>
      </c>
    </row>
    <row r="40" spans="1:16" ht="45" customHeight="1" x14ac:dyDescent="0.25">
      <c r="A40" s="1"/>
      <c r="B40" s="182"/>
      <c r="C40" s="184"/>
      <c r="D40" s="186"/>
      <c r="E40" s="82"/>
      <c r="F40" s="21" t="s">
        <v>819</v>
      </c>
      <c r="G40" s="157"/>
      <c r="I40" s="1"/>
      <c r="J40" s="1"/>
      <c r="K40" s="1"/>
      <c r="L40" s="1"/>
      <c r="M40" s="1"/>
      <c r="N40" s="1"/>
      <c r="O40" s="1"/>
    </row>
    <row r="41" spans="1:16" ht="51" customHeight="1" x14ac:dyDescent="0.25">
      <c r="A41" s="1"/>
      <c r="B41" s="130" t="s">
        <v>896</v>
      </c>
      <c r="C41" s="12" t="s">
        <v>46</v>
      </c>
      <c r="D41" s="140" t="s">
        <v>2</v>
      </c>
      <c r="E41" s="33"/>
      <c r="F41" s="22" t="s">
        <v>47</v>
      </c>
      <c r="G41" s="158"/>
      <c r="I41" s="1"/>
      <c r="J41" s="1"/>
      <c r="K41" s="1"/>
      <c r="L41" s="1"/>
      <c r="M41" s="1"/>
      <c r="N41" s="1"/>
      <c r="O41" s="1"/>
    </row>
    <row r="42" spans="1:16" x14ac:dyDescent="0.25">
      <c r="A42" s="1"/>
      <c r="B42" s="129"/>
      <c r="C42" s="1"/>
      <c r="D42" s="1"/>
      <c r="E42" s="1"/>
      <c r="I42" s="1"/>
      <c r="J42" s="1"/>
    </row>
    <row r="43" spans="1:16" x14ac:dyDescent="0.25">
      <c r="A43" s="1"/>
      <c r="B43" s="129"/>
      <c r="C43" s="1"/>
      <c r="D43" s="1"/>
      <c r="E43" s="1"/>
      <c r="I43" s="1"/>
      <c r="J43" s="1"/>
    </row>
    <row r="44" spans="1:16" x14ac:dyDescent="0.25">
      <c r="A44" s="1"/>
      <c r="B44" s="129"/>
      <c r="C44" s="1"/>
      <c r="D44" s="1"/>
      <c r="E44" s="1"/>
      <c r="I44" s="1"/>
      <c r="J44" s="1"/>
    </row>
    <row r="45" spans="1:16" x14ac:dyDescent="0.25">
      <c r="A45" s="1"/>
      <c r="B45" s="129"/>
      <c r="C45" s="1"/>
      <c r="D45" s="1"/>
      <c r="E45" s="1"/>
      <c r="I45" s="1"/>
      <c r="J45" s="1"/>
    </row>
    <row r="46" spans="1:16" x14ac:dyDescent="0.25">
      <c r="A46" s="1"/>
      <c r="B46" s="129"/>
      <c r="C46" s="1"/>
      <c r="D46" s="1"/>
      <c r="E46" s="1"/>
    </row>
    <row r="47" spans="1:16" x14ac:dyDescent="0.25">
      <c r="A47" s="1"/>
      <c r="B47" s="129"/>
      <c r="C47" s="1"/>
      <c r="D47" s="1"/>
      <c r="E47" s="1"/>
    </row>
    <row r="48" spans="1:16" x14ac:dyDescent="0.25">
      <c r="A48" s="1"/>
      <c r="B48" s="129"/>
      <c r="C48" s="1"/>
      <c r="D48" s="1"/>
      <c r="E48" s="1"/>
    </row>
    <row r="49" spans="1:5" x14ac:dyDescent="0.25">
      <c r="A49" s="1"/>
      <c r="B49" s="129"/>
      <c r="C49" s="1"/>
      <c r="D49" s="1"/>
      <c r="E49" s="1"/>
    </row>
    <row r="50" spans="1:5" x14ac:dyDescent="0.25">
      <c r="A50" s="1"/>
      <c r="B50" s="129"/>
      <c r="C50" s="1"/>
      <c r="D50" s="1"/>
      <c r="E50" s="1"/>
    </row>
    <row r="51" spans="1:5" x14ac:dyDescent="0.25">
      <c r="A51" s="1"/>
      <c r="B51" s="129"/>
      <c r="C51" s="1"/>
      <c r="D51" s="1"/>
      <c r="E51" s="1"/>
    </row>
    <row r="52" spans="1:5" x14ac:dyDescent="0.25">
      <c r="A52" s="1"/>
      <c r="B52" s="129"/>
      <c r="C52" s="1"/>
      <c r="D52" s="1"/>
      <c r="E52" s="1"/>
    </row>
    <row r="53" spans="1:5" x14ac:dyDescent="0.25">
      <c r="A53" s="1"/>
      <c r="B53" s="129"/>
      <c r="C53" s="1"/>
      <c r="D53" s="1"/>
      <c r="E53" s="1"/>
    </row>
    <row r="54" spans="1:5" x14ac:dyDescent="0.25">
      <c r="A54" s="1"/>
      <c r="B54" s="129"/>
      <c r="C54" s="1"/>
      <c r="D54" s="1"/>
      <c r="E54" s="1"/>
    </row>
    <row r="55" spans="1:5" x14ac:dyDescent="0.25">
      <c r="A55" s="1"/>
      <c r="B55" s="129"/>
      <c r="C55" s="1"/>
      <c r="D55" s="1"/>
      <c r="E55" s="1"/>
    </row>
    <row r="56" spans="1:5" x14ac:dyDescent="0.25">
      <c r="A56" s="1"/>
      <c r="B56" s="129"/>
      <c r="C56" s="1"/>
      <c r="D56" s="1"/>
      <c r="E56" s="1"/>
    </row>
    <row r="57" spans="1:5" x14ac:dyDescent="0.25">
      <c r="A57" s="1"/>
      <c r="B57" s="129"/>
      <c r="C57" s="1"/>
      <c r="D57" s="1"/>
      <c r="E57" s="1"/>
    </row>
    <row r="58" spans="1:5" x14ac:dyDescent="0.25">
      <c r="A58" s="1"/>
      <c r="B58" s="129"/>
      <c r="C58" s="1"/>
      <c r="D58" s="1"/>
      <c r="E58" s="1"/>
    </row>
    <row r="59" spans="1:5" x14ac:dyDescent="0.25">
      <c r="A59" s="1"/>
      <c r="B59" s="129"/>
      <c r="C59" s="1"/>
      <c r="D59" s="1"/>
      <c r="E59" s="1"/>
    </row>
    <row r="60" spans="1:5" x14ac:dyDescent="0.25">
      <c r="A60" s="1"/>
      <c r="B60" s="129"/>
      <c r="C60" s="1"/>
      <c r="D60" s="1"/>
      <c r="E60" s="1"/>
    </row>
    <row r="61" spans="1:5" x14ac:dyDescent="0.25">
      <c r="A61" s="1"/>
      <c r="B61" s="129"/>
      <c r="C61" s="1"/>
      <c r="D61" s="1"/>
      <c r="E61" s="1"/>
    </row>
    <row r="62" spans="1:5" x14ac:dyDescent="0.25">
      <c r="A62" s="1"/>
      <c r="B62" s="129"/>
      <c r="C62" s="1"/>
      <c r="D62" s="1"/>
      <c r="E62" s="1"/>
    </row>
    <row r="63" spans="1:5" x14ac:dyDescent="0.25">
      <c r="A63" s="1"/>
      <c r="B63" s="129"/>
      <c r="C63" s="1"/>
      <c r="D63" s="1"/>
      <c r="E63" s="1"/>
    </row>
    <row r="64" spans="1:5" x14ac:dyDescent="0.25">
      <c r="A64" s="1"/>
      <c r="B64" s="129"/>
      <c r="C64" s="1"/>
      <c r="D64" s="1"/>
      <c r="E64" s="1"/>
    </row>
    <row r="65" spans="1:5" x14ac:dyDescent="0.25">
      <c r="A65" s="1"/>
      <c r="B65" s="129"/>
      <c r="C65" s="1"/>
      <c r="D65" s="1"/>
      <c r="E65" s="1"/>
    </row>
    <row r="66" spans="1:5" x14ac:dyDescent="0.25">
      <c r="A66" s="1"/>
      <c r="B66" s="129"/>
      <c r="C66" s="1"/>
      <c r="D66" s="1"/>
      <c r="E66" s="1"/>
    </row>
    <row r="67" spans="1:5" x14ac:dyDescent="0.25">
      <c r="A67" s="1"/>
      <c r="B67" s="129"/>
      <c r="C67" s="1"/>
      <c r="D67" s="1"/>
      <c r="E67" s="1"/>
    </row>
    <row r="68" spans="1:5" x14ac:dyDescent="0.25">
      <c r="A68" s="1"/>
      <c r="B68" s="129"/>
      <c r="C68" s="1"/>
      <c r="D68" s="1"/>
      <c r="E68" s="1"/>
    </row>
    <row r="69" spans="1:5" x14ac:dyDescent="0.25">
      <c r="A69" s="1"/>
      <c r="B69" s="129"/>
      <c r="C69" s="1"/>
      <c r="D69" s="1"/>
      <c r="E69" s="1"/>
    </row>
    <row r="70" spans="1:5" x14ac:dyDescent="0.25">
      <c r="A70" s="1"/>
      <c r="B70" s="129"/>
      <c r="C70" s="1"/>
      <c r="D70" s="1"/>
      <c r="E70" s="1"/>
    </row>
    <row r="71" spans="1:5" x14ac:dyDescent="0.25">
      <c r="A71" s="1"/>
      <c r="B71" s="129"/>
      <c r="C71" s="1"/>
      <c r="D71" s="1"/>
      <c r="E71" s="1"/>
    </row>
    <row r="72" spans="1:5" x14ac:dyDescent="0.25">
      <c r="A72" s="1"/>
      <c r="B72" s="129"/>
      <c r="C72" s="1"/>
      <c r="D72" s="1"/>
      <c r="E72" s="1"/>
    </row>
    <row r="73" spans="1:5" x14ac:dyDescent="0.25">
      <c r="A73" s="1"/>
      <c r="B73" s="129"/>
      <c r="C73" s="1"/>
      <c r="D73" s="1"/>
      <c r="E73" s="1"/>
    </row>
    <row r="74" spans="1:5" x14ac:dyDescent="0.25">
      <c r="A74" s="1"/>
      <c r="B74" s="129"/>
      <c r="C74" s="1"/>
      <c r="D74" s="1"/>
      <c r="E74" s="1"/>
    </row>
    <row r="75" spans="1:5" x14ac:dyDescent="0.25">
      <c r="A75" s="1"/>
      <c r="B75" s="129"/>
      <c r="C75" s="1"/>
      <c r="D75" s="1"/>
      <c r="E75" s="1"/>
    </row>
    <row r="76" spans="1:5" x14ac:dyDescent="0.25">
      <c r="A76" s="1"/>
      <c r="B76" s="129"/>
      <c r="C76" s="1"/>
      <c r="D76" s="1"/>
      <c r="E76" s="1"/>
    </row>
    <row r="77" spans="1:5" x14ac:dyDescent="0.25">
      <c r="A77" s="1"/>
      <c r="B77" s="129"/>
      <c r="C77" s="1"/>
      <c r="D77" s="1"/>
      <c r="E77" s="1"/>
    </row>
    <row r="78" spans="1:5" x14ac:dyDescent="0.25">
      <c r="A78" s="1"/>
      <c r="B78" s="129"/>
      <c r="C78" s="1"/>
      <c r="D78" s="1"/>
      <c r="E78" s="1"/>
    </row>
    <row r="79" spans="1:5" x14ac:dyDescent="0.25">
      <c r="A79" s="1"/>
      <c r="B79" s="129"/>
      <c r="C79" s="1"/>
      <c r="D79" s="1"/>
      <c r="E79" s="1"/>
    </row>
    <row r="80" spans="1:5" x14ac:dyDescent="0.25">
      <c r="A80" s="1"/>
      <c r="B80" s="129"/>
      <c r="C80" s="1"/>
      <c r="D80" s="1"/>
      <c r="E80" s="1"/>
    </row>
  </sheetData>
  <sheetProtection sheet="1" objects="1" scenarios="1"/>
  <mergeCells count="13">
    <mergeCell ref="H29:H31"/>
    <mergeCell ref="E10:F10"/>
    <mergeCell ref="E11:F11"/>
    <mergeCell ref="E12:E13"/>
    <mergeCell ref="B39:B40"/>
    <mergeCell ref="C39:C40"/>
    <mergeCell ref="D39:D40"/>
    <mergeCell ref="E4:F4"/>
    <mergeCell ref="E6:F6"/>
    <mergeCell ref="E8:F8"/>
    <mergeCell ref="E7:F7"/>
    <mergeCell ref="E9:F9"/>
    <mergeCell ref="E5:F5"/>
  </mergeCells>
  <conditionalFormatting sqref="E23">
    <cfRule type="expression" dxfId="183" priority="34">
      <formula>$D$23="Si"</formula>
    </cfRule>
  </conditionalFormatting>
  <conditionalFormatting sqref="E20">
    <cfRule type="expression" dxfId="182" priority="30">
      <formula>$D$20="Si"</formula>
    </cfRule>
  </conditionalFormatting>
  <conditionalFormatting sqref="E19">
    <cfRule type="expression" dxfId="181" priority="29">
      <formula>$D$19="Si"</formula>
    </cfRule>
  </conditionalFormatting>
  <conditionalFormatting sqref="E18">
    <cfRule type="expression" dxfId="180" priority="28">
      <formula>$D$18="Si"</formula>
    </cfRule>
  </conditionalFormatting>
  <conditionalFormatting sqref="E22">
    <cfRule type="expression" dxfId="179" priority="27">
      <formula>$D$22="Si"</formula>
    </cfRule>
  </conditionalFormatting>
  <conditionalFormatting sqref="E17">
    <cfRule type="expression" dxfId="178" priority="26">
      <formula>$D$17="Si"</formula>
    </cfRule>
  </conditionalFormatting>
  <conditionalFormatting sqref="E25">
    <cfRule type="expression" dxfId="177" priority="25">
      <formula>$D$25="Si"</formula>
    </cfRule>
  </conditionalFormatting>
  <conditionalFormatting sqref="E40 C36:E39">
    <cfRule type="expression" dxfId="176" priority="14">
      <formula>OR($D$17="No",$D$17="")</formula>
    </cfRule>
  </conditionalFormatting>
  <conditionalFormatting sqref="C29:G31">
    <cfRule type="expression" dxfId="175" priority="13">
      <formula>OR($D$25="No",$D$25="")</formula>
    </cfRule>
  </conditionalFormatting>
  <conditionalFormatting sqref="E29:G31 E36:E38">
    <cfRule type="expression" dxfId="174" priority="15">
      <formula>$D29="Si"</formula>
    </cfRule>
  </conditionalFormatting>
  <conditionalFormatting sqref="C41:E41">
    <cfRule type="expression" dxfId="173" priority="9">
      <formula>OR($D$17="No",$D$17="")</formula>
    </cfRule>
  </conditionalFormatting>
  <conditionalFormatting sqref="E41">
    <cfRule type="expression" dxfId="172" priority="10">
      <formula>$D41="Si"</formula>
    </cfRule>
  </conditionalFormatting>
  <conditionalFormatting sqref="E24">
    <cfRule type="expression" dxfId="171" priority="8">
      <formula>$D$24="No"</formula>
    </cfRule>
  </conditionalFormatting>
  <conditionalFormatting sqref="E21">
    <cfRule type="expression" dxfId="170" priority="7">
      <formula>$D$21="Si"</formula>
    </cfRule>
  </conditionalFormatting>
  <conditionalFormatting sqref="E39:E40">
    <cfRule type="expression" dxfId="169" priority="212">
      <formula>$D$39="Si"</formula>
    </cfRule>
  </conditionalFormatting>
  <conditionalFormatting sqref="E39">
    <cfRule type="expression" dxfId="168" priority="5">
      <formula>$E$40&gt;0</formula>
    </cfRule>
    <cfRule type="expression" dxfId="167" priority="215">
      <formula>#REF!="Si"</formula>
    </cfRule>
  </conditionalFormatting>
  <conditionalFormatting sqref="E40">
    <cfRule type="expression" dxfId="166" priority="4">
      <formula>$E$39&gt;0</formula>
    </cfRule>
  </conditionalFormatting>
  <conditionalFormatting sqref="B36:B39">
    <cfRule type="expression" dxfId="165" priority="3">
      <formula>OR($D$17="No",$D$17="")</formula>
    </cfRule>
  </conditionalFormatting>
  <conditionalFormatting sqref="B29:B31">
    <cfRule type="expression" dxfId="164" priority="2">
      <formula>OR($D$25="No",$D$25="")</formula>
    </cfRule>
  </conditionalFormatting>
  <conditionalFormatting sqref="B41">
    <cfRule type="expression" dxfId="163" priority="1">
      <formula>OR($D$17="No",$D$17="")</formula>
    </cfRule>
  </conditionalFormatting>
  <dataValidations count="11">
    <dataValidation type="list" allowBlank="1" showInputMessage="1" showErrorMessage="1" sqref="E18">
      <formula1>"2,3,4,5,6,7,8,9,10"</formula1>
    </dataValidation>
    <dataValidation type="list" allowBlank="1" showInputMessage="1" showErrorMessage="1" sqref="E19">
      <formula1>"25,30,40,50"</formula1>
    </dataValidation>
    <dataValidation type="list" allowBlank="1" showInputMessage="1" showErrorMessage="1" sqref="D54:E54 D41 D29:D31 D36:D39 D17:D25">
      <formula1>"Si,No"</formula1>
    </dataValidation>
    <dataValidation type="list" allowBlank="1" showInputMessage="1" showErrorMessage="1" sqref="D48:E48">
      <formula1>"Habitatge,Comercial,Indústria,Rural"</formula1>
    </dataValidation>
    <dataValidation type="list" allowBlank="1" showInputMessage="1" showErrorMessage="1" sqref="D49:E49">
      <formula1>"Individual,Compartit,per a Elements Comuns"</formula1>
    </dataValidation>
    <dataValidation type="list" allowBlank="1" showInputMessage="1" showErrorMessage="1" sqref="D52:E52">
      <formula1>"Sense característiques especials,Família nombrosa,Família Vulnerable,No és per habitatge"</formula1>
    </dataValidation>
    <dataValidation type="list" allowBlank="1" showInputMessage="1" showErrorMessage="1" sqref="D51:E51">
      <formula1>"5,10,15,20,25,30,40,50"</formula1>
    </dataValidation>
    <dataValidation type="list" allowBlank="1" showInputMessage="1" showErrorMessage="1" sqref="D55:E55">
      <formula1>"30,40,50,60,70,80,90,95,100"</formula1>
    </dataValidation>
    <dataValidation type="whole" operator="greaterThan" allowBlank="1" showInputMessage="1" showErrorMessage="1" sqref="F29:F31 E20:E21">
      <formula1>0</formula1>
    </dataValidation>
    <dataValidation type="list" allowBlank="1" showInputMessage="1" showErrorMessage="1" sqref="E29:E31">
      <formula1>$C$18:$C$23</formula1>
    </dataValidation>
    <dataValidation type="list" operator="greaterThan" allowBlank="1" showInputMessage="1" showErrorMessage="1" sqref="E22">
      <formula1>"10,20,30,40,50,60,70,80,90"</formula1>
    </dataValidation>
  </dataValidations>
  <hyperlinks>
    <hyperlink ref="E6" r:id="rId1" display="https://www.idescat.cat/pub/?id=ibi"/>
  </hyperlinks>
  <pageMargins left="0.7" right="0.7" top="0.75" bottom="0.75" header="0.3" footer="0.3"/>
  <pageSetup paperSize="9" orientation="portrait" horizontalDpi="0" verticalDpi="0"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dades Municipis'!$B$2:$B$717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9"/>
  <sheetViews>
    <sheetView zoomScale="80" zoomScaleNormal="80" workbookViewId="0">
      <selection activeCell="D11" sqref="D11"/>
    </sheetView>
  </sheetViews>
  <sheetFormatPr baseColWidth="10" defaultColWidth="9.140625" defaultRowHeight="15" x14ac:dyDescent="0.25"/>
  <cols>
    <col min="1" max="1" width="19.5703125" style="1" customWidth="1"/>
    <col min="2" max="2" width="17.140625" style="1" customWidth="1"/>
    <col min="3" max="3" width="56.7109375" customWidth="1"/>
    <col min="4" max="4" width="34.7109375" customWidth="1"/>
    <col min="5" max="5" width="34.5703125" customWidth="1"/>
    <col min="6" max="6" width="30.42578125" customWidth="1"/>
    <col min="7" max="7" width="32.5703125" style="1" customWidth="1"/>
    <col min="8" max="8" width="41" style="1" customWidth="1"/>
    <col min="9" max="9" width="79.42578125" style="1" customWidth="1"/>
    <col min="10" max="10" width="39.85546875" hidden="1" customWidth="1"/>
    <col min="11" max="11" width="39.42578125" hidden="1" customWidth="1"/>
    <col min="12" max="12" width="36.85546875" hidden="1" customWidth="1"/>
    <col min="13" max="13" width="14.140625" hidden="1" customWidth="1"/>
    <col min="14" max="14" width="19.7109375" hidden="1" customWidth="1"/>
    <col min="15" max="15" width="0" hidden="1" customWidth="1"/>
    <col min="16" max="19" width="11.85546875" hidden="1" customWidth="1"/>
    <col min="20" max="20" width="0" hidden="1" customWidth="1"/>
  </cols>
  <sheetData>
    <row r="1" spans="2:38" s="1" customFormat="1" x14ac:dyDescent="0.25">
      <c r="D1" s="1" t="s">
        <v>863</v>
      </c>
      <c r="G1" s="35"/>
      <c r="H1" s="35"/>
      <c r="I1" s="35"/>
    </row>
    <row r="2" spans="2:38" s="1" customFormat="1" ht="41.25" customHeight="1" x14ac:dyDescent="0.25">
      <c r="G2" s="35"/>
      <c r="H2" s="35"/>
      <c r="I2" s="35"/>
    </row>
    <row r="3" spans="2:38" s="1" customFormat="1" ht="28.5" customHeight="1" x14ac:dyDescent="0.25">
      <c r="C3" s="187" t="s">
        <v>34</v>
      </c>
      <c r="D3" s="187"/>
      <c r="E3" s="187"/>
      <c r="F3" s="187"/>
      <c r="G3" s="48"/>
      <c r="H3" s="48"/>
      <c r="I3" s="35"/>
    </row>
    <row r="4" spans="2:38" ht="48.75" customHeight="1" x14ac:dyDescent="0.25">
      <c r="C4" s="8" t="s">
        <v>48</v>
      </c>
      <c r="D4" s="17" t="s">
        <v>61</v>
      </c>
      <c r="E4" s="17" t="s">
        <v>62</v>
      </c>
      <c r="F4" s="17" t="s">
        <v>16</v>
      </c>
      <c r="G4" s="49" t="s">
        <v>403</v>
      </c>
      <c r="H4" s="49" t="s">
        <v>402</v>
      </c>
      <c r="I4" s="36"/>
      <c r="J4" s="1"/>
      <c r="K4" s="3"/>
      <c r="M4" s="1"/>
      <c r="N4" s="1"/>
      <c r="O4" s="1"/>
      <c r="P4" s="1"/>
      <c r="Q4" s="1"/>
      <c r="R4" s="1"/>
      <c r="S4" s="1"/>
      <c r="T4" s="1"/>
      <c r="U4" s="1"/>
      <c r="V4" s="1"/>
      <c r="W4" s="1"/>
      <c r="X4" s="1"/>
      <c r="Y4" s="1"/>
      <c r="Z4" s="1"/>
      <c r="AA4" s="1"/>
      <c r="AB4" s="1"/>
      <c r="AC4" s="1"/>
      <c r="AD4" s="1"/>
      <c r="AE4" s="1"/>
      <c r="AF4" s="1"/>
      <c r="AG4" s="1"/>
      <c r="AH4" s="1"/>
      <c r="AI4" s="1"/>
      <c r="AJ4" s="1"/>
      <c r="AK4" s="1"/>
      <c r="AL4" s="1"/>
    </row>
    <row r="5" spans="2:38" s="1" customFormat="1" ht="18.75" x14ac:dyDescent="0.25">
      <c r="B5" s="3"/>
      <c r="C5" s="12" t="s">
        <v>49</v>
      </c>
      <c r="D5" s="5">
        <f>IF(Informació!$D$24="No",Informació!$E$24/100*Informació!D6*(Informació!D9+Informació!D10+Informació!D11)*Informació!E18*Informació!E19/100,Informació!D6*(Informació!D9+Informació!D10+Informació!D11)*Informació!E18*Informació!E19/100)</f>
        <v>0</v>
      </c>
      <c r="E5" s="23" t="e">
        <f t="shared" ref="E5:E14" si="0">D5/F5</f>
        <v>#DIV/0!</v>
      </c>
      <c r="F5" s="25">
        <f>Informació!E18</f>
        <v>0</v>
      </c>
      <c r="G5" s="5">
        <f>VLOOKUP(Informació!$D$5,'Base de dades Municipis'!$B$2:$G$717,5,TRUE)</f>
        <v>4116701</v>
      </c>
      <c r="H5" s="5" t="e">
        <f>G5-E5</f>
        <v>#DIV/0!</v>
      </c>
      <c r="I5" s="35"/>
      <c r="K5" s="3"/>
    </row>
    <row r="6" spans="2:38" s="1" customFormat="1" ht="18.75" x14ac:dyDescent="0.25">
      <c r="C6" s="12" t="s">
        <v>50</v>
      </c>
      <c r="D6" s="5">
        <f>IF(Informació!$D$24="No",Informació!$E$24/100*Informació!P22*(Informació!D11+Informació!D10+Informació!D9),Informació!P22*(Informació!D11+Informació!D10+Informació!D9))</f>
        <v>0</v>
      </c>
      <c r="E6" s="23" t="e">
        <f t="shared" si="0"/>
        <v>#DIV/0!</v>
      </c>
      <c r="F6" s="25" t="e">
        <f>Informació!P22/(Informació!D6*Informació!E19/100)</f>
        <v>#DIV/0!</v>
      </c>
      <c r="G6" s="5">
        <f>VLOOKUP(Informació!$D$5,'Base de dades Municipis'!$B$2:$G$717,5,TRUE)</f>
        <v>4116701</v>
      </c>
      <c r="H6" s="5" t="e">
        <f>G6-E6</f>
        <v>#DIV/0!</v>
      </c>
      <c r="I6" s="35"/>
      <c r="K6" s="3"/>
    </row>
    <row r="7" spans="2:38" s="1" customFormat="1" ht="30" x14ac:dyDescent="0.25">
      <c r="C7" s="12" t="s">
        <v>51</v>
      </c>
      <c r="D7" s="5">
        <f>MIN(D5:D6)</f>
        <v>0</v>
      </c>
      <c r="E7" s="23" t="e">
        <f t="shared" si="0"/>
        <v>#DIV/0!</v>
      </c>
      <c r="F7" s="25" t="e">
        <f>MIN(F5:F6)</f>
        <v>#DIV/0!</v>
      </c>
      <c r="G7" s="5">
        <f>VLOOKUP(Informació!$D$5,'Base de dades Municipis'!$B$2:$G$717,5,TRUE)</f>
        <v>4116701</v>
      </c>
      <c r="H7" s="5" t="e">
        <f>G7-E7</f>
        <v>#DIV/0!</v>
      </c>
      <c r="I7" s="35"/>
      <c r="K7" s="3"/>
    </row>
    <row r="8" spans="2:38" s="1" customFormat="1" ht="30" x14ac:dyDescent="0.25">
      <c r="C8" s="12" t="s">
        <v>52</v>
      </c>
      <c r="D8" s="5">
        <f>IF(Informació!$D$24="No",Informació!$E$24/100*Informació!E20*Informació!E18*(Informació!D11+Informació!D10+Informació!D9),Informació!E20*Informació!E18*(Informació!D11+Informació!D10+Informació!D9))</f>
        <v>0</v>
      </c>
      <c r="E8" s="23" t="e">
        <f t="shared" si="0"/>
        <v>#DIV/0!</v>
      </c>
      <c r="F8" s="25">
        <f>Informació!E18</f>
        <v>0</v>
      </c>
      <c r="G8" s="5">
        <f>VLOOKUP(Informació!$D$5,'Base de dades Municipis'!$B$2:$G$717,5,TRUE)</f>
        <v>4116701</v>
      </c>
      <c r="H8" s="5" t="e">
        <f t="shared" ref="H8:H14" si="1">G8-E8</f>
        <v>#DIV/0!</v>
      </c>
      <c r="I8" s="35"/>
      <c r="K8" s="3"/>
    </row>
    <row r="9" spans="2:38" ht="18.75" x14ac:dyDescent="0.25">
      <c r="C9" s="12" t="s">
        <v>53</v>
      </c>
      <c r="D9" s="5">
        <f>IF(Informació!$D$24="No",Informació!$E$24/100*Informació!P22*(Informació!D11+Informació!D10+Informació!D9),Informació!P22*(Informació!D11+Informació!D10+Informació!D9))</f>
        <v>0</v>
      </c>
      <c r="E9" s="23" t="e">
        <f t="shared" si="0"/>
        <v>#DIV/0!</v>
      </c>
      <c r="F9" s="25" t="e">
        <f>Informació!P22/Informació!E20</f>
        <v>#DIV/0!</v>
      </c>
      <c r="G9" s="5">
        <f>VLOOKUP(Informació!$D$5,'Base de dades Municipis'!$B$2:$G$717,5,TRUE)</f>
        <v>4116701</v>
      </c>
      <c r="H9" s="5" t="e">
        <f t="shared" si="1"/>
        <v>#DIV/0!</v>
      </c>
      <c r="I9" s="35"/>
      <c r="J9" s="1"/>
      <c r="K9" s="3"/>
      <c r="L9" s="1"/>
      <c r="M9" s="1"/>
      <c r="N9" s="1"/>
      <c r="O9" s="1"/>
      <c r="U9" s="1"/>
      <c r="V9" s="1"/>
      <c r="W9" s="1"/>
      <c r="X9" s="1"/>
      <c r="Y9" s="1"/>
      <c r="Z9" s="1"/>
      <c r="AA9" s="1"/>
      <c r="AB9" s="1"/>
      <c r="AC9" s="1"/>
      <c r="AD9" s="1"/>
      <c r="AE9" s="1"/>
      <c r="AF9" s="1"/>
      <c r="AG9" s="1"/>
      <c r="AH9" s="1"/>
      <c r="AI9" s="1"/>
      <c r="AJ9" s="1"/>
      <c r="AK9" s="1"/>
      <c r="AL9" s="1"/>
    </row>
    <row r="10" spans="2:38" ht="45" x14ac:dyDescent="0.25">
      <c r="C10" s="12" t="s">
        <v>54</v>
      </c>
      <c r="D10" s="5">
        <f>IF(Informació!E23&lt;0.25*Informació!D8,0.9,IF(Informació!E23&lt;0.6*Informació!D8,0.8,IF(Informació!E23=Informació!D8,0.5,IF(Informació!E23&lt;1.5*Informació!D8,0.25,0))))*D5</f>
        <v>0</v>
      </c>
      <c r="E10" s="23" t="e">
        <f t="shared" si="0"/>
        <v>#DIV/0!</v>
      </c>
      <c r="F10" s="25">
        <f>Informació!E18</f>
        <v>0</v>
      </c>
      <c r="G10" s="5">
        <f>VLOOKUP(Informació!$D$5,'Base de dades Municipis'!$B$2:$G$717,5,TRUE)</f>
        <v>4116701</v>
      </c>
      <c r="H10" s="5" t="e">
        <f t="shared" si="1"/>
        <v>#DIV/0!</v>
      </c>
      <c r="I10" s="35"/>
      <c r="J10" s="1"/>
      <c r="K10" s="3"/>
      <c r="L10" s="1"/>
      <c r="M10" s="1"/>
      <c r="N10" s="1"/>
      <c r="O10" s="1"/>
      <c r="U10" s="1"/>
      <c r="V10" s="1"/>
      <c r="W10" s="1"/>
      <c r="X10" s="1"/>
      <c r="Y10" s="1"/>
      <c r="Z10" s="1"/>
      <c r="AA10" s="1"/>
      <c r="AB10" s="1"/>
      <c r="AC10" s="1"/>
      <c r="AD10" s="1"/>
      <c r="AE10" s="1"/>
      <c r="AF10" s="1"/>
      <c r="AG10" s="1"/>
      <c r="AH10" s="1"/>
      <c r="AI10" s="1"/>
      <c r="AJ10" s="1"/>
      <c r="AK10" s="1"/>
      <c r="AL10" s="1"/>
    </row>
    <row r="11" spans="2:38" ht="45" x14ac:dyDescent="0.25">
      <c r="C11" s="12" t="s">
        <v>55</v>
      </c>
      <c r="D11" s="5">
        <f>IF(Informació!E23&lt;0.25*Informació!D8,0.9,IF(Informació!E23&lt;0.6*Informació!D8,0.8,IF(Informació!E23=Informació!D8,0.5,IF(Informació!E23&lt;1.5*Informació!D8,0.25,0))))*D6</f>
        <v>0</v>
      </c>
      <c r="E11" s="23" t="e">
        <f t="shared" si="0"/>
        <v>#DIV/0!</v>
      </c>
      <c r="F11" s="25" t="e">
        <f>Informació!P22/(Informació!D6*Informació!E19/100)</f>
        <v>#DIV/0!</v>
      </c>
      <c r="G11" s="5">
        <f>VLOOKUP(Informació!$D$5,'Base de dades Municipis'!$B$2:$G$717,5,TRUE)</f>
        <v>4116701</v>
      </c>
      <c r="H11" s="5" t="e">
        <f t="shared" si="1"/>
        <v>#DIV/0!</v>
      </c>
      <c r="I11" s="35"/>
      <c r="J11" s="1"/>
      <c r="K11" s="3"/>
      <c r="L11" s="1"/>
      <c r="M11" s="1"/>
      <c r="N11" s="1"/>
      <c r="O11" s="1"/>
      <c r="U11" s="1"/>
      <c r="V11" s="1"/>
      <c r="W11" s="1"/>
      <c r="X11" s="1"/>
      <c r="Y11" s="1"/>
      <c r="Z11" s="1"/>
      <c r="AA11" s="1"/>
      <c r="AB11" s="1"/>
      <c r="AC11" s="1"/>
      <c r="AD11" s="1"/>
      <c r="AE11" s="1"/>
      <c r="AF11" s="1"/>
      <c r="AG11" s="1"/>
      <c r="AH11" s="1"/>
      <c r="AI11" s="1"/>
      <c r="AJ11" s="1"/>
      <c r="AK11" s="1"/>
      <c r="AL11" s="1"/>
    </row>
    <row r="12" spans="2:38" ht="60" x14ac:dyDescent="0.25">
      <c r="C12" s="12" t="s">
        <v>56</v>
      </c>
      <c r="D12" s="5">
        <f>IF(Informació!E23&lt;0.25*Informació!D8,0.9,IF(Informació!E23&lt;0.6*Informació!D8,0.8,IF(Informació!E23=Informació!D8,0.5,IF(Informació!E23&lt;1.5*Informació!D8,0.25,0))))*D7</f>
        <v>0</v>
      </c>
      <c r="E12" s="23" t="e">
        <f t="shared" si="0"/>
        <v>#DIV/0!</v>
      </c>
      <c r="F12" s="25" t="e">
        <f>MIN(F10:F11)</f>
        <v>#DIV/0!</v>
      </c>
      <c r="G12" s="5">
        <f>VLOOKUP(Informació!$D$5,'Base de dades Municipis'!$B$2:$G$717,5,TRUE)</f>
        <v>4116701</v>
      </c>
      <c r="H12" s="5" t="e">
        <f t="shared" si="1"/>
        <v>#DIV/0!</v>
      </c>
      <c r="I12" s="35"/>
      <c r="J12" s="1"/>
      <c r="K12" s="3"/>
      <c r="L12" s="1"/>
      <c r="M12" s="1"/>
      <c r="N12" s="1"/>
      <c r="O12" s="1"/>
      <c r="U12" s="1"/>
      <c r="V12" s="1"/>
      <c r="W12" s="1"/>
      <c r="X12" s="1"/>
      <c r="Y12" s="1"/>
      <c r="Z12" s="1"/>
      <c r="AA12" s="1"/>
      <c r="AB12" s="1"/>
      <c r="AC12" s="1"/>
      <c r="AD12" s="1"/>
      <c r="AE12" s="1"/>
      <c r="AF12" s="1"/>
      <c r="AG12" s="1"/>
      <c r="AH12" s="1"/>
      <c r="AI12" s="1"/>
      <c r="AJ12" s="1"/>
      <c r="AK12" s="1"/>
      <c r="AL12" s="1"/>
    </row>
    <row r="13" spans="2:38" ht="45" x14ac:dyDescent="0.25">
      <c r="C13" s="12" t="s">
        <v>57</v>
      </c>
      <c r="D13" s="5">
        <f>IF(Informació!E23&lt;0.25*Informació!D8,0.9,IF(Informació!E23&lt;0.6*Informació!D8,0.8,IF(Informació!E23=Informació!D8,0.5,IF(Informació!E23&lt;1.5*Informació!D8,0.25,0))))*D8</f>
        <v>0</v>
      </c>
      <c r="E13" s="23" t="e">
        <f t="shared" si="0"/>
        <v>#DIV/0!</v>
      </c>
      <c r="F13" s="25">
        <f>Informació!E18</f>
        <v>0</v>
      </c>
      <c r="G13" s="5">
        <f>VLOOKUP(Informació!$D$5,'Base de dades Municipis'!$B$2:$G$717,5,TRUE)</f>
        <v>4116701</v>
      </c>
      <c r="H13" s="5" t="e">
        <f t="shared" si="1"/>
        <v>#DIV/0!</v>
      </c>
      <c r="I13" s="35"/>
      <c r="J13" s="1"/>
      <c r="K13" s="3"/>
      <c r="L13" s="1"/>
      <c r="M13" s="1"/>
      <c r="N13" s="1"/>
      <c r="O13" s="1"/>
      <c r="U13" s="1"/>
      <c r="V13" s="1"/>
      <c r="W13" s="1"/>
      <c r="X13" s="1"/>
      <c r="Y13" s="1"/>
      <c r="Z13" s="1"/>
      <c r="AA13" s="1"/>
      <c r="AB13" s="1"/>
      <c r="AC13" s="1"/>
      <c r="AD13" s="1"/>
      <c r="AE13" s="1"/>
      <c r="AF13" s="1"/>
      <c r="AG13" s="1"/>
      <c r="AH13" s="1"/>
      <c r="AI13" s="1"/>
      <c r="AJ13" s="1"/>
      <c r="AK13" s="1"/>
      <c r="AL13" s="1"/>
    </row>
    <row r="14" spans="2:38" ht="45" x14ac:dyDescent="0.25">
      <c r="C14" s="12" t="s">
        <v>58</v>
      </c>
      <c r="D14" s="5">
        <f>IF(Informació!E23&lt;0.25*Informació!D8,0.9,IF(Informació!E23&lt;0.6*Informació!D8,0.8,IF(Informació!E23=Informació!D8,0.5,IF(Informació!E23&lt;1.5*Informació!D8,0.25,0))))*D9</f>
        <v>0</v>
      </c>
      <c r="E14" s="23" t="e">
        <f t="shared" si="0"/>
        <v>#DIV/0!</v>
      </c>
      <c r="F14" s="25" t="e">
        <f>Informació!P22/Informació!E20</f>
        <v>#DIV/0!</v>
      </c>
      <c r="G14" s="5">
        <f>VLOOKUP(Informació!$D$5,'Base de dades Municipis'!$B$2:$G$717,5,TRUE)</f>
        <v>4116701</v>
      </c>
      <c r="H14" s="5" t="e">
        <f t="shared" si="1"/>
        <v>#DIV/0!</v>
      </c>
      <c r="I14" s="35"/>
      <c r="J14" s="1"/>
      <c r="K14" s="3"/>
      <c r="L14" s="1"/>
      <c r="M14" s="1"/>
      <c r="N14" s="1"/>
      <c r="O14" s="1"/>
      <c r="U14" s="1"/>
      <c r="V14" s="1"/>
      <c r="W14" s="1"/>
      <c r="X14" s="1"/>
      <c r="Y14" s="1"/>
      <c r="Z14" s="1"/>
      <c r="AA14" s="1"/>
      <c r="AB14" s="1"/>
      <c r="AC14" s="1"/>
      <c r="AD14" s="1"/>
      <c r="AE14" s="1"/>
      <c r="AF14" s="1"/>
      <c r="AG14" s="1"/>
      <c r="AH14" s="1"/>
      <c r="AI14" s="1"/>
      <c r="AJ14" s="1"/>
      <c r="AK14" s="1"/>
      <c r="AL14" s="1"/>
    </row>
    <row r="15" spans="2:38" x14ac:dyDescent="0.25">
      <c r="C15" s="1"/>
      <c r="E15" s="1"/>
      <c r="F15" s="1"/>
      <c r="G15" s="35"/>
      <c r="H15" s="35"/>
      <c r="I15" s="35"/>
      <c r="J15" s="1"/>
      <c r="K15" s="3"/>
      <c r="L15" s="1"/>
      <c r="M15" s="1"/>
      <c r="N15" s="1"/>
      <c r="O15" s="1"/>
      <c r="U15" s="1"/>
      <c r="V15" s="1"/>
      <c r="W15" s="1"/>
      <c r="X15" s="1"/>
      <c r="Y15" s="1"/>
      <c r="Z15" s="1"/>
      <c r="AA15" s="1"/>
      <c r="AB15" s="1"/>
      <c r="AC15" s="1"/>
      <c r="AD15" s="1"/>
      <c r="AE15" s="1"/>
      <c r="AF15" s="1"/>
      <c r="AG15" s="1"/>
      <c r="AH15" s="1"/>
      <c r="AI15" s="1"/>
      <c r="AJ15" s="1"/>
      <c r="AK15" s="1"/>
      <c r="AL15" s="1"/>
    </row>
    <row r="16" spans="2:38" ht="56.25" customHeight="1" x14ac:dyDescent="0.25">
      <c r="C16" s="188" t="s">
        <v>37</v>
      </c>
      <c r="D16" s="188"/>
      <c r="E16" s="188"/>
      <c r="F16" s="188"/>
      <c r="G16" s="48"/>
      <c r="H16" s="48"/>
      <c r="I16" s="36"/>
      <c r="J16" s="1"/>
      <c r="K16" s="37"/>
      <c r="L16" s="37"/>
      <c r="M16" s="37"/>
      <c r="N16" s="37"/>
      <c r="O16" s="37"/>
      <c r="P16" s="37"/>
      <c r="Q16" s="37"/>
      <c r="R16" s="37"/>
      <c r="S16" s="38"/>
      <c r="U16" s="1"/>
      <c r="V16" s="1"/>
      <c r="W16" s="1"/>
      <c r="X16" s="1"/>
      <c r="Y16" s="1"/>
      <c r="Z16" s="1"/>
      <c r="AA16" s="1"/>
      <c r="AB16" s="1"/>
      <c r="AC16" s="1"/>
      <c r="AD16" s="1"/>
      <c r="AE16" s="1"/>
      <c r="AF16" s="1"/>
      <c r="AG16" s="1"/>
      <c r="AH16" s="1"/>
      <c r="AI16" s="1"/>
      <c r="AJ16" s="1"/>
      <c r="AK16" s="1"/>
      <c r="AL16" s="1"/>
    </row>
    <row r="17" spans="3:38" ht="43.5" customHeight="1" x14ac:dyDescent="0.25">
      <c r="C17" s="8" t="s">
        <v>48</v>
      </c>
      <c r="D17" s="17" t="s">
        <v>61</v>
      </c>
      <c r="E17" s="17" t="s">
        <v>62</v>
      </c>
      <c r="F17" s="17" t="s">
        <v>16</v>
      </c>
      <c r="G17" s="49" t="s">
        <v>403</v>
      </c>
      <c r="H17" s="49" t="s">
        <v>402</v>
      </c>
      <c r="I17" s="36"/>
      <c r="J17" s="1"/>
      <c r="K17" s="37" t="s">
        <v>39</v>
      </c>
      <c r="L17" s="37" t="s">
        <v>38</v>
      </c>
      <c r="M17" s="37" t="s">
        <v>40</v>
      </c>
      <c r="N17" s="37" t="s">
        <v>41</v>
      </c>
      <c r="O17" s="37"/>
      <c r="P17" s="37"/>
      <c r="Q17" s="37"/>
      <c r="R17" s="37"/>
      <c r="S17" s="38"/>
      <c r="U17" s="1"/>
      <c r="V17" s="1"/>
      <c r="W17" s="1"/>
      <c r="X17" s="1"/>
      <c r="Y17" s="1"/>
      <c r="Z17" s="1"/>
      <c r="AA17" s="1"/>
      <c r="AB17" s="1"/>
      <c r="AC17" s="1"/>
      <c r="AD17" s="1"/>
      <c r="AE17" s="1"/>
      <c r="AF17" s="1"/>
      <c r="AG17" s="1"/>
      <c r="AH17" s="1"/>
      <c r="AI17" s="1"/>
      <c r="AJ17" s="1"/>
      <c r="AK17" s="1"/>
      <c r="AL17" s="1"/>
    </row>
    <row r="18" spans="3:38" ht="24" customHeight="1" x14ac:dyDescent="0.25">
      <c r="C18" s="12" t="s">
        <v>49</v>
      </c>
      <c r="D18" s="5">
        <f>IF(Informació!$D$24="No",Informació!$E$24/100*(M18+N18),(M18+N18))</f>
        <v>0</v>
      </c>
      <c r="E18" s="23" t="e">
        <f t="shared" ref="E18:E27" si="2">D18/F18</f>
        <v>#DIV/0!</v>
      </c>
      <c r="F18" s="25">
        <f t="array" ref="F18">IF(OR(Informació!E29:E31="Temps màxim d'aplicació de la bonificació"),MAX(Informació!$E$18,VLOOKUP("Temps màxim d'aplicació de la bonificació",Informació!E29:G31,3,FALSE)),Informació!$E$18)</f>
        <v>0</v>
      </c>
      <c r="G18" s="25">
        <f>VLOOKUP(Informació!$D$5,'Base de dades Municipis'!$B$2:$G$717,5,TRUE)</f>
        <v>4116701</v>
      </c>
      <c r="H18" s="25" t="e">
        <f>G18-E18</f>
        <v>#DIV/0!</v>
      </c>
      <c r="I18" s="35"/>
      <c r="K18" s="37">
        <f>SUMIF(Informació!E29:E31,"Percentatge de bonificació",Informació!F29:F31)+SUMIF(Informació!E29:E31,"Temps màxim d'aplicació de la bonificació",Informació!F29:F31)</f>
        <v>0</v>
      </c>
      <c r="L18" s="37">
        <f>Informació!$D$9+Informació!$D$10+Informació!$D$11-Resultats!K18</f>
        <v>70</v>
      </c>
      <c r="M18" s="39">
        <f>D5/(Informació!$D$9+Informació!$D$10+Informació!$D$11)*L18</f>
        <v>0</v>
      </c>
      <c r="N18" s="37">
        <f t="array" ref="N18">IF(AND(Informació!E29:E31="Percentatge de bonificació",Informació!E29:E31="Temps màxim d'aplicació de la bonificació"),SUMIF(Informació!E29:E31,"Percentatge de bonificació",Informació!F29:F31)*VLOOKUP("Percentatge de bonificació",Informació!E29:G31,3,FALSE)/100*Informació!D6*Informació!E18+SUMIF(Informació!E29:E31,"Temps màxim d'aplicació de la bonificació",Informació!F29:F31)*Informació!E19/100*Informació!D6*VLOOKUP("Temps màxim d'aplicació de la bonificació",Informació!E29:G31,3,FALSE),IF(OR(Informació!E29:E31="Temps màxim d'aplicació de la bonificació"),SUMIF(Informació!E29:E31,"Temps màxim d'aplicació de la bonificació",Informació!F29:F31)*Informació!E19/100*Informació!D6*VLOOKUP("Temps màxim d'aplicació de la bonificació",Informació!E29:G31,3,FALSE),SUMIF(Informació!E29:E31,"Percentatge de bonificació",Informació!F29:F31)*VLOOKUP("Percentatge de bonificació",Informació!E29:G31,3,FALSE)/100*Informació!D6*Informació!E18))</f>
        <v>0</v>
      </c>
      <c r="O18" s="37"/>
      <c r="P18" s="37"/>
      <c r="Q18" s="37"/>
      <c r="R18" s="37"/>
      <c r="S18" s="38"/>
      <c r="U18" s="1"/>
      <c r="V18" s="1"/>
      <c r="W18" s="1"/>
      <c r="X18" s="1"/>
      <c r="Y18" s="1"/>
      <c r="Z18" s="1"/>
      <c r="AA18" s="1"/>
      <c r="AB18" s="1"/>
      <c r="AC18" s="1"/>
      <c r="AD18" s="1"/>
      <c r="AE18" s="1"/>
      <c r="AF18" s="1"/>
      <c r="AG18" s="1"/>
      <c r="AH18" s="1"/>
      <c r="AI18" s="1"/>
      <c r="AJ18" s="1"/>
      <c r="AK18" s="1"/>
      <c r="AL18" s="1"/>
    </row>
    <row r="19" spans="3:38" ht="27.75" customHeight="1" x14ac:dyDescent="0.25">
      <c r="C19" s="12" t="s">
        <v>50</v>
      </c>
      <c r="D19" s="5">
        <f>IF(Informació!$D$24="No",Informació!$E$24/100*(M19+N19),(M19+N19))</f>
        <v>0</v>
      </c>
      <c r="E19" s="23" t="e">
        <f t="shared" si="2"/>
        <v>#DIV/0!</v>
      </c>
      <c r="F19" s="25" t="e">
        <f t="array" ref="F19">IF(OR(Informació!E29:E31="Topall màxim bonificable (€ màx)"),MAX(Informació!E21/(Informació!D6*Informació!E19/100),VLOOKUP("Topall màxim bonificable (€ màx)",Informació!E29:G31,3,FALSE)/(Informació!D6*Informació!E19/100)),Informació!E21/(Informació!D6*Informació!E19/100))</f>
        <v>#DIV/0!</v>
      </c>
      <c r="G19" s="25">
        <f>VLOOKUP(Informació!$D$5,'Base de dades Municipis'!$B$2:$G$717,5,TRUE)</f>
        <v>4116701</v>
      </c>
      <c r="H19" s="25" t="e">
        <f t="shared" ref="H19:H27" si="3">G19-E19</f>
        <v>#DIV/0!</v>
      </c>
      <c r="I19" s="35"/>
      <c r="K19" s="37">
        <f>SUMIF(Informació!E29:E31,"Percentatge de bonificació",Informació!F29:F31)+SUMIF(Informació!E29:E31,"Topall màxim bonificable",Informació!F29:F31)</f>
        <v>0</v>
      </c>
      <c r="L19" s="37">
        <f>Informació!$D$9+Informació!$D$10+Informació!$D$11-Resultats!K19</f>
        <v>70</v>
      </c>
      <c r="M19" s="39">
        <f>D6/(Informació!$D$9+Informació!$D$10+Informació!$D$11)*L19</f>
        <v>0</v>
      </c>
      <c r="N19" s="37">
        <f>IF(AND(Q19=TRUE,R19=TRUE),K19*VLOOKUP("Topall màxim bonificable",Informació!E29:G31,3,FALSE),IF(AND(Q19=TRUE,R19=FALSE),K19*Informació!E21,IF(AND(Q19=FALSE,R19=TRUE),K19*VLOOKUP("Topall màxim bonificable",Informació!E29:G31,3,FALSE),0)))</f>
        <v>0</v>
      </c>
      <c r="O19" s="37" t="e">
        <f>SUMIF(Informació!E29:E31,"Topall màxim bonificable",Informació!F29:F31)*VLOOKUP("Topall màxim bonificable",Informació!E29:G31,3,FALSE)+SUMIF(Informació!E29:E31,"Percentatge de bonificació",Informació!F29:F31)*VLOOKUP("Percentatge de bonificació",Informació!E29:G31,3,FALSE)/100*Informació!D6*Informació!E18</f>
        <v>#N/A</v>
      </c>
      <c r="P19" s="37"/>
      <c r="Q19" s="37" t="b">
        <f t="array" ref="Q19">OR(Informació!E29:E31="Percentatge de bonificació")</f>
        <v>1</v>
      </c>
      <c r="R19" s="37" t="b">
        <f t="array" ref="R19">OR(Informació!E29:E31="Topall màxim bonificable (€ màx)")</f>
        <v>0</v>
      </c>
      <c r="S19" s="38" t="b">
        <f t="array" ref="S19">OR(Informació!E29:E31="Topall màxim bonificable (% del cost de la instal·lació)")</f>
        <v>0</v>
      </c>
      <c r="U19" s="1"/>
      <c r="V19" s="1"/>
      <c r="W19" s="1"/>
      <c r="X19" s="1"/>
      <c r="Y19" s="1"/>
      <c r="Z19" s="1"/>
      <c r="AA19" s="1"/>
      <c r="AB19" s="1"/>
      <c r="AC19" s="1"/>
      <c r="AD19" s="1"/>
      <c r="AE19" s="1"/>
      <c r="AF19" s="1"/>
      <c r="AG19" s="1"/>
      <c r="AH19" s="1"/>
      <c r="AI19" s="1"/>
      <c r="AJ19" s="1"/>
      <c r="AK19" s="1"/>
      <c r="AL19" s="1"/>
    </row>
    <row r="20" spans="3:38" ht="36" customHeight="1" x14ac:dyDescent="0.25">
      <c r="C20" s="12" t="s">
        <v>51</v>
      </c>
      <c r="D20" s="5">
        <f>IF(Informació!$D$24="No",Informació!$E$24/100*(M20+N20),(M20+N20))</f>
        <v>0</v>
      </c>
      <c r="E20" s="23" t="e">
        <f t="shared" si="2"/>
        <v>#DIV/0!</v>
      </c>
      <c r="F20" s="25" t="e">
        <f>MIN(F18:F19)</f>
        <v>#DIV/0!</v>
      </c>
      <c r="G20" s="25">
        <f>VLOOKUP(Informació!$D$5,'Base de dades Municipis'!$B$2:$G$717,5,TRUE)</f>
        <v>4116701</v>
      </c>
      <c r="H20" s="25" t="e">
        <f t="shared" si="3"/>
        <v>#DIV/0!</v>
      </c>
      <c r="I20" s="35"/>
      <c r="J20" s="1"/>
      <c r="K20" s="37">
        <f>SUMIF(Informació!E29:E31,"Percentatge de bonificació",Informació!F29:F31)+SUMIF(Informació!E29:E31,"Temps màxim d'aplicació de la bonificació",Informació!F29:F31)+SUMIF(Informació!E29:E31,"Topall màxim bonificable",Informació!F29:F31)</f>
        <v>0</v>
      </c>
      <c r="L20" s="37">
        <f>Informació!$D$9+Informació!$D$10+Informació!$D$11-Resultats!K20</f>
        <v>70</v>
      </c>
      <c r="M20" s="39">
        <f>D7/(Informació!$D$9+Informació!$D$10+Informació!$D$11)*L20</f>
        <v>0</v>
      </c>
      <c r="N20" s="37">
        <f>MAX(N18:N19)</f>
        <v>0</v>
      </c>
      <c r="O20" s="37" t="e">
        <f>SUMIF(Informació!E29:E31,"Topall màxim bonificable",Informació!F29:F31)*VLOOKUP("Topall màxim bonificable",Informació!E29:G31,3,FALSE)+SUMIF(Informació!E29:E31,"Percentatge de bonificació",Informació!F29:F31)*VLOOKUP("Percentatge de bonificació",Informació!E29:G31,3,FALSE)/100*Informació!D6*Informació!E18+SUMIF(Informació!E29:E31,"Percentatge de bonificació",Informació!F29:F31)*VLOOKUP("Percentatge de bonificació",Informació!E29:G31,3,FALSE)/100*Informació!D6*Informació!E18</f>
        <v>#N/A</v>
      </c>
      <c r="P20" s="37">
        <f>MIN(J18:J19)*K20</f>
        <v>0</v>
      </c>
      <c r="Q20" s="37" t="b">
        <f t="array" ref="Q20">OR(Informació!E29:E31="Percentatge de bonificació")</f>
        <v>1</v>
      </c>
      <c r="R20" s="37" t="b">
        <f t="array" ref="R20">OR(Informació!E29:E31="Temps màxim d'aplicació de la bonificació")</f>
        <v>1</v>
      </c>
      <c r="S20" s="38" t="b">
        <f t="array" ref="S20">OR(Informació!E29:E31="Topall màxim bonificable (€ màx)")</f>
        <v>0</v>
      </c>
      <c r="T20" t="b">
        <f t="array" ref="T20">OR(Informació!E29:E31="Topall màxim bonificable (% del cost de la instal·lació)")</f>
        <v>0</v>
      </c>
      <c r="U20" s="1"/>
      <c r="V20" s="1"/>
      <c r="W20" s="1"/>
      <c r="X20" s="1"/>
      <c r="Y20" s="1"/>
      <c r="Z20" s="1"/>
      <c r="AA20" s="1"/>
      <c r="AB20" s="1"/>
      <c r="AC20" s="1"/>
      <c r="AD20" s="1"/>
      <c r="AE20" s="1"/>
      <c r="AF20" s="1"/>
      <c r="AG20" s="1"/>
      <c r="AH20" s="1"/>
      <c r="AI20" s="1"/>
      <c r="AJ20" s="1"/>
      <c r="AK20" s="1"/>
      <c r="AL20" s="1"/>
    </row>
    <row r="21" spans="3:38" ht="30" x14ac:dyDescent="0.25">
      <c r="C21" s="12" t="s">
        <v>52</v>
      </c>
      <c r="D21" s="5">
        <f>IF(Informació!$D$24="No",Informació!$E$24/100*(M21+N21),(M21+N21))</f>
        <v>0</v>
      </c>
      <c r="E21" s="23" t="e">
        <f t="shared" si="2"/>
        <v>#DIV/0!</v>
      </c>
      <c r="F21" s="25">
        <f t="array" ref="F21">IF(OR(Informació!E29:E31="Temps màxim d'aplicació de la bonificació"),MAX(Informació!$E$18,VLOOKUP("Temps màxim d'aplicació de la bonificació",Informació!E29:G31,3,FALSE)),Informació!$E$18)</f>
        <v>0</v>
      </c>
      <c r="G21" s="25">
        <f>VLOOKUP(Informació!$D$5,'Base de dades Municipis'!$B$2:$G$717,5,TRUE)</f>
        <v>4116701</v>
      </c>
      <c r="H21" s="25" t="e">
        <f t="shared" si="3"/>
        <v>#DIV/0!</v>
      </c>
      <c r="I21" s="35"/>
      <c r="J21" s="1"/>
      <c r="K21" s="37">
        <f>SUMIF(Informació!E29:E31,"Quota de bonificació fixa",Informació!F29:F31)+SUMIF(Informació!E29:E31,"Temps màxim d'aplicació de la bonificació",Informació!F29:F31)</f>
        <v>0</v>
      </c>
      <c r="L21" s="37">
        <f>Informació!$D$9+Informació!$D$10+Informació!$D$11-Resultats!K21</f>
        <v>70</v>
      </c>
      <c r="M21" s="39">
        <f>D8/(Informació!$D$9+Informació!$D$10+Informació!$D$11)*L21</f>
        <v>0</v>
      </c>
      <c r="N21" s="37">
        <f>IF(AND(Q21=TRUE,R21=TRUE),F21*K21*VLOOKUP("Quota de bonificació fixa",Informació!E29:G31,3,FALSE),IF(AND(Q21=TRUE,R21=FALSE),Informació!E18*K21*VLOOKUP("Quota de bonificació fixa",Informació!E29:G31,3,FALSE),IF(AND(Q21=FALSE,R21=TRUE),Resultats!F21*K21*Informació!E20,0)))</f>
        <v>0</v>
      </c>
      <c r="O21" s="37" t="e">
        <f>SUMIF(Informació!E29:E31,"Temps màxim d'aplicació de la bonificació",Informació!F29:F31)*Informació!E19/100*Informació!D6*VLOOKUP("Temps màxim d'aplicació de la bonificació",Informació!E29:G31,3,FALSE)+SUMIF(Informació!E29:E31,"Quota de bonificació fixa",Informació!F29:F31)*VLOOKUP("Quota de bonificació fixa",Informació!E29:G31,3,FALSE)*Informació!E18</f>
        <v>#N/A</v>
      </c>
      <c r="P21" s="37"/>
      <c r="Q21" s="37" t="b">
        <f t="array" ref="Q21">OR(Informació!E29:E31="Quota de bonificació fixa")</f>
        <v>0</v>
      </c>
      <c r="R21" s="37" t="b">
        <f t="array" ref="R21">OR(Informació!E29:E31="Temps màxim d'aplicació de la bonificació")</f>
        <v>1</v>
      </c>
      <c r="S21" s="38"/>
      <c r="U21" s="1"/>
      <c r="V21" s="1"/>
      <c r="W21" s="1"/>
      <c r="X21" s="1"/>
      <c r="Y21" s="1"/>
      <c r="Z21" s="1"/>
      <c r="AA21" s="1"/>
      <c r="AB21" s="1"/>
      <c r="AC21" s="1"/>
      <c r="AD21" s="1"/>
      <c r="AE21" s="1"/>
      <c r="AF21" s="1"/>
      <c r="AG21" s="1"/>
      <c r="AH21" s="1"/>
      <c r="AI21" s="1"/>
      <c r="AJ21" s="1"/>
      <c r="AK21" s="1"/>
      <c r="AL21" s="1"/>
    </row>
    <row r="22" spans="3:38" ht="25.5" customHeight="1" x14ac:dyDescent="0.25">
      <c r="C22" s="12" t="s">
        <v>53</v>
      </c>
      <c r="D22" s="5">
        <f>IF(Informació!$D$24="No",Informació!$E$24/100*(M22+N22),(M22+N22))</f>
        <v>0</v>
      </c>
      <c r="E22" s="23" t="e">
        <f t="shared" si="2"/>
        <v>#DIV/0!</v>
      </c>
      <c r="F22" s="25" t="e">
        <f t="array" ref="F22">IF(OR(Informació!E29:E31="Topall màxim bonificable (€ màx)"),MAX(Informació!E21/Informació!E20,VLOOKUP("Topall màxim bonificable (€ màx)",Informació!E29:G31,3,FALSE)/Informació!E20),Informació!E21/Informació!E20)</f>
        <v>#DIV/0!</v>
      </c>
      <c r="G22" s="25">
        <f>VLOOKUP(Informació!$D$5,'Base de dades Municipis'!$B$2:$G$717,5,TRUE)</f>
        <v>4116701</v>
      </c>
      <c r="H22" s="25" t="e">
        <f t="shared" si="3"/>
        <v>#DIV/0!</v>
      </c>
      <c r="I22" s="35"/>
      <c r="J22" s="1"/>
      <c r="K22" s="37">
        <f>SUMIF(Informació!E29:E31,"Quota de bonificació fixa",Informació!F29:F31)+SUMIF(Informació!E29:E31,"Topall màxim bonificable",Informació!F29:F31)</f>
        <v>0</v>
      </c>
      <c r="L22" s="37">
        <f>Informació!$D$9+Informació!$D$10+Informació!$D$11-Resultats!K22</f>
        <v>70</v>
      </c>
      <c r="M22" s="39">
        <f>D9/(Informació!$D$9+Informació!$D$10+Informació!$D$11)*L22</f>
        <v>0</v>
      </c>
      <c r="N22" s="37">
        <f t="array" ref="N22">IF(OR(Informació!E29:E31="Topall màxim bonificable"),SUMIF(Informació!E29:E31,"Topall màxim bonificable",Informació!F29:F31)*VLOOKUP("Topall màxim bonificable",Informació!E29:G31,3,FALSE),0)+SUMIF(Informació!E29:E31,"Quota de bonificació fixa",Informació!F29:F31)*Informació!E21</f>
        <v>0</v>
      </c>
      <c r="O22" s="37"/>
      <c r="P22" s="37"/>
      <c r="Q22" s="37"/>
      <c r="R22" s="37"/>
      <c r="S22" s="38"/>
      <c r="U22" s="1"/>
      <c r="V22" s="1"/>
      <c r="W22" s="1"/>
      <c r="X22" s="1"/>
      <c r="Y22" s="1"/>
      <c r="Z22" s="1"/>
      <c r="AA22" s="1"/>
      <c r="AB22" s="1"/>
      <c r="AC22" s="1"/>
      <c r="AD22" s="1"/>
      <c r="AE22" s="1"/>
      <c r="AF22" s="1"/>
      <c r="AG22" s="1"/>
      <c r="AH22" s="1"/>
      <c r="AI22" s="1"/>
      <c r="AJ22" s="1"/>
      <c r="AK22" s="1"/>
      <c r="AL22" s="1"/>
    </row>
    <row r="23" spans="3:38" ht="45" x14ac:dyDescent="0.25">
      <c r="C23" s="12" t="s">
        <v>54</v>
      </c>
      <c r="D23" s="5" t="e">
        <f>IF(Informació!$D$24="No",Informació!$E$24/100*(M23+N23),(M23+N23))</f>
        <v>#DIV/0!</v>
      </c>
      <c r="E23" s="23" t="e">
        <f t="shared" si="2"/>
        <v>#DIV/0!</v>
      </c>
      <c r="F23" s="25">
        <f t="array" ref="F23">IF(OR(Informació!E29:E31="Temps màxim d'aplicació de la bonificació"),MAX(Informació!$E$18,VLOOKUP("Temps màxim d'aplicació de la bonificació",Informació!E29:G31,3,FALSE)),Informació!$E$18)</f>
        <v>0</v>
      </c>
      <c r="G23" s="25">
        <f>VLOOKUP(Informació!$D$5,'Base de dades Municipis'!$B$2:$G$717,5,TRUE)</f>
        <v>4116701</v>
      </c>
      <c r="H23" s="25" t="e">
        <f t="shared" si="3"/>
        <v>#DIV/0!</v>
      </c>
      <c r="I23" s="35"/>
      <c r="J23" s="1"/>
      <c r="K23" s="37">
        <f>SUMIF(Informació!E29:E31,"Percentatge de bonificació",Informació!F29:F31)+SUMIF(Informació!E29:E31,"Temps màxim d'aplicació de la bonificació",Informació!F29:F31)+SUMIF(Informació!E29:E31,"Bonificar a partir d'un mínim de potència instal·lada",Informació!F29:F31)</f>
        <v>0</v>
      </c>
      <c r="L23" s="37">
        <f>Informació!$D$9+Informació!$D$10+Informació!$D$11-Resultats!K23</f>
        <v>70</v>
      </c>
      <c r="M23" s="39">
        <f>D10/(Informació!$D$9+Informació!$D$10+Informació!$D$11)*L23</f>
        <v>0</v>
      </c>
      <c r="N23" s="37" t="e">
        <f t="array" ref="N23">IF(OR(Informació!E29:E31="Bonificar a partir d'un mínim de potència instal·lada"),IF(VLOOKUP("Bonificar a partir d'un mínim de potència instal·lada",Informació!E29:G31,3,FALSE)&lt;0.25*Informació!D8,0.9,IF(VLOOKUP("Bonificar a partir d'un mínim de potència instal·lada",Informació!E29:G31,3,FALSE)&lt;0.6*Informació!D8,0.8,IF(VLOOKUP("Bonificar a partir d'un mínim de potència instal·lada",Informació!E29:G31,3,FALSE)=Informació!D8,0.5,IF(VLOOKUP("Bonificar a partir d'un mínim de potència instal·lada",Informació!E29:G31,3,FALSE)&lt;1.5*Informació!D8,0.25,0))))*N18/K18*SUMIF(Informació!E29:E31,"Bonificar a partir d'un mínim de potència instal·lada",Informació!F29:F31)+N18/K18*(K18-(K23-K18)),IF(Informació!E23&lt;0.25*Informació!D8,0.9,IF(Informació!E23&lt;0.6*Informació!D8,0.8,IF(Informació!E23=Informació!D8,0.5,IF(Informació!E23&lt;1.5*Informació!D8,0.25,0))))*N18/K18*K23)</f>
        <v>#DIV/0!</v>
      </c>
      <c r="O23" s="37"/>
      <c r="P23" s="37"/>
      <c r="Q23" s="37" t="e">
        <f>SUMIF(Informació!E29:E31,"Bonificar a partir d'un mínim de potència instal·lada",Informació!F29:F31)*IF(VLOOKUP("Bonificar a partir d'un mínim de potència instal·lada",Informació!E29:G31,3,FALSE)&lt;0.25*Informació!D8,0.9,IF(VLOOKUP("Bonificar a partir d'un mínim de potència instal·lada",Informació!E29:G31,3,FALSE)&lt;0.6*Informació!D8,0.8,IF(VLOOKUP("Bonificar a partir d'un mínim de potència instal·lada",Informació!E29:G31,3,FALSE)=Informació!D8,0.5,IF(VLOOKUP("Bonificar a partir d'un mínim de potència instal·lada",Informació!E29:G31,3,FALSE)&lt;1.5*Informació!D8,0.25,0))))*Informació!E19/100*Informació!D6*Informació!E18</f>
        <v>#N/A</v>
      </c>
      <c r="R23" s="37"/>
      <c r="S23" s="38"/>
      <c r="U23" s="1"/>
      <c r="V23" s="1"/>
      <c r="W23" s="1"/>
      <c r="X23" s="1"/>
      <c r="Y23" s="1"/>
      <c r="Z23" s="1"/>
      <c r="AA23" s="1"/>
      <c r="AB23" s="1"/>
      <c r="AC23" s="1"/>
      <c r="AD23" s="1"/>
      <c r="AE23" s="1"/>
      <c r="AF23" s="1"/>
      <c r="AG23" s="1"/>
      <c r="AH23" s="1"/>
      <c r="AI23" s="1"/>
      <c r="AJ23" s="1"/>
      <c r="AK23" s="1"/>
      <c r="AL23" s="1"/>
    </row>
    <row r="24" spans="3:38" ht="45" x14ac:dyDescent="0.25">
      <c r="C24" s="12" t="s">
        <v>55</v>
      </c>
      <c r="D24" s="5" t="e">
        <f>IF(Informació!$D$24="No",Informació!$E$24/100*(M24+N24),(M24+N24))</f>
        <v>#DIV/0!</v>
      </c>
      <c r="E24" s="23" t="e">
        <f t="shared" si="2"/>
        <v>#DIV/0!</v>
      </c>
      <c r="F24" s="25" t="e">
        <f t="array" ref="F24">IF(OR(Informació!E29:E31="Topall màxim bonificable (€ màx)"),MAX(Informació!E21/(Informació!D6*Informació!E19/100),VLOOKUP("Topall màxim bonificable (€ màx)",Informació!E29:G31,3,FALSE)/(Informació!D6*Informació!E19/100)),Informació!E21/(Informació!D6*Informació!E19/100))</f>
        <v>#DIV/0!</v>
      </c>
      <c r="G24" s="25">
        <f>VLOOKUP(Informació!$D$5,'Base de dades Municipis'!$B$2:$G$717,5,TRUE)</f>
        <v>4116701</v>
      </c>
      <c r="H24" s="25" t="e">
        <f t="shared" si="3"/>
        <v>#DIV/0!</v>
      </c>
      <c r="I24" s="35"/>
      <c r="J24" s="1"/>
      <c r="K24" s="37">
        <f>SUMIF(Informació!E29:E31,"Percentatge de bonificació",Informació!F29:F31)+SUMIF(Informació!E29:E31,"Topall màxim bonificable",Informació!F29:F31)+SUMIF(Informació!E29:E31,"Bonificar a partir d'un mínim de potència instal·lada",Informació!F29:F31)</f>
        <v>0</v>
      </c>
      <c r="L24" s="37">
        <f>Informació!$D$9+Informació!$D$10+Informació!$D$11-Resultats!K24</f>
        <v>70</v>
      </c>
      <c r="M24" s="39">
        <f>D11/(Informació!$D$9+Informació!$D$10+Informació!$D$11)*L24</f>
        <v>0</v>
      </c>
      <c r="N24" s="37" t="e">
        <f t="array" ref="N24">IF(OR(Informació!E29:E31="Bonificar a partir d'un mínim de potència instal·lada"),IF(VLOOKUP("Bonificar a partir d'un mínim de potència instal·lada",Informació!E29:G31,3,FALSE)&lt;0.25*Informació!D8,0.9,IF(VLOOKUP("Bonificar a partir d'un mínim de potència instal·lada",Informació!E29:G31,3,FALSE)&lt;0.6*Informació!D8,0.8,IF(VLOOKUP("Bonificar a partir d'un mínim de potència instal·lada",Informació!E29:G31,3,FALSE)=Informació!D8,0.5,IF(VLOOKUP("Bonificar a partir d'un mínim de potència instal·lada",Informació!E29:G31,3,FALSE)&lt;1.5*Informació!D8,0.25,0))))*N19/K19*SUMIF(Informació!E29:E31,"Bonificar a partir d'un mínim de potència instal·lada",Informació!F29:F31)+N19/K19*(K19-(K24-K19)),IF(Informació!E23&lt;0.25*Informació!D8,0.9,IF(Informació!E23&lt;0.6*Informació!D8,0.8,IF(Informació!E23=Informació!D8,0.5,IF(Informació!E23&lt;1.5*Informació!D8,0.25,0))))*N19/K19*K24)</f>
        <v>#DIV/0!</v>
      </c>
      <c r="O24" s="37"/>
      <c r="P24" s="37"/>
      <c r="Q24" s="37"/>
      <c r="R24" s="37"/>
      <c r="S24" s="38"/>
      <c r="U24" s="1"/>
      <c r="V24" s="1"/>
      <c r="W24" s="1"/>
      <c r="X24" s="1"/>
      <c r="Y24" s="1"/>
      <c r="Z24" s="1"/>
      <c r="AA24" s="1"/>
      <c r="AB24" s="1"/>
      <c r="AC24" s="1"/>
      <c r="AD24" s="1"/>
      <c r="AE24" s="1"/>
      <c r="AF24" s="1"/>
      <c r="AG24" s="1"/>
      <c r="AH24" s="1"/>
      <c r="AI24" s="1"/>
      <c r="AJ24" s="1"/>
      <c r="AK24" s="1"/>
      <c r="AL24" s="1"/>
    </row>
    <row r="25" spans="3:38" ht="60" x14ac:dyDescent="0.25">
      <c r="C25" s="12" t="s">
        <v>56</v>
      </c>
      <c r="D25" s="5" t="e">
        <f>IF(Informació!$D$24="No",Informació!$E$24/100*(M25+N25),(M25+N25))</f>
        <v>#DIV/0!</v>
      </c>
      <c r="E25" s="23" t="e">
        <f t="shared" si="2"/>
        <v>#DIV/0!</v>
      </c>
      <c r="F25" s="25" t="e">
        <f>MIN(F23:F24)</f>
        <v>#DIV/0!</v>
      </c>
      <c r="G25" s="25">
        <f>VLOOKUP(Informació!$D$5,'Base de dades Municipis'!$B$2:$G$717,5,TRUE)</f>
        <v>4116701</v>
      </c>
      <c r="H25" s="25" t="e">
        <f t="shared" si="3"/>
        <v>#DIV/0!</v>
      </c>
      <c r="I25" s="35"/>
      <c r="J25" s="1"/>
      <c r="K25" s="37">
        <f>SUMIF(Informació!E29:E31,"Percentatge de bonificació",Informació!F29:F31)+SUMIF(Informació!E29:E31,"Temps màxim d'aplicació de la bonificació",Informació!F29:F31)+SUMIF(Informació!E29:E31,"Bonificar a partir d'un mínim de potència instal·lada",Informació!F29:F31)+SUMIF(Informació!E29:E31,"Topall màxim bonificable",Informació!F29:F31)</f>
        <v>0</v>
      </c>
      <c r="L25" s="37">
        <f>Informació!$D$9+Informació!$D$10+Informació!$D$11-Resultats!K25</f>
        <v>70</v>
      </c>
      <c r="M25" s="39">
        <f>D12/(Informació!$D$9+Informació!$D$10+Informació!$D$11)*L25</f>
        <v>0</v>
      </c>
      <c r="N25" s="37" t="e">
        <f t="array" ref="N25">IF(OR(Informació!E29:E31="Bonificar a partir d'un mínim de potència instal·lada"),IF(VLOOKUP("Bonificar a partir d'un mínim de potència instal·lada",Informació!E29:G31,3,FALSE)&lt;0.25*Informació!D8,0.9,IF(VLOOKUP("Bonificar a partir d'un mínim de potència instal·lada",Informació!E29:G31,3,FALSE)&lt;0.6*Informació!D8,0.8,IF(VLOOKUP("Bonificar a partir d'un mínim de potència instal·lada",Informació!E29:G31,3,FALSE)=Informació!D8,0.5,IF(VLOOKUP("Bonificar a partir d'un mínim de potència instal·lada",Informació!E29:G31,3,FALSE)&lt;1.5*Informació!D8,0.25,0))))*N20/K20*SUMIF(Informació!E29:E31,"Bonificar a partir d'un mínim de potència instal·lada",Informació!F29:F31)+N20/K20*(K20-(K25-K20)),IF(Informació!E23&lt;0.25*Informació!D8,0.9,IF(Informació!E23&lt;0.6*Informació!D8,0.8,IF(Informació!E23=Informació!D8,0.5,IF(Informació!E23&lt;1.5*Informació!D8,0.25,0))))*N20/K20*K25)</f>
        <v>#DIV/0!</v>
      </c>
      <c r="O25" s="37"/>
      <c r="P25" s="37"/>
      <c r="Q25" s="37"/>
      <c r="R25" s="37"/>
      <c r="S25" s="38"/>
      <c r="U25" s="1"/>
      <c r="V25" s="1"/>
      <c r="W25" s="1"/>
      <c r="X25" s="1"/>
      <c r="Y25" s="1"/>
      <c r="Z25" s="1"/>
      <c r="AA25" s="1"/>
      <c r="AB25" s="1"/>
      <c r="AC25" s="1"/>
      <c r="AD25" s="1"/>
      <c r="AE25" s="1"/>
      <c r="AF25" s="1"/>
      <c r="AG25" s="1"/>
      <c r="AH25" s="1"/>
      <c r="AI25" s="1"/>
      <c r="AJ25" s="1"/>
      <c r="AK25" s="1"/>
      <c r="AL25" s="1"/>
    </row>
    <row r="26" spans="3:38" ht="45" x14ac:dyDescent="0.25">
      <c r="C26" s="12" t="s">
        <v>57</v>
      </c>
      <c r="D26" s="5" t="e">
        <f>IF(Informació!$D$24="No",Informació!$E$24/100*(M26+N26),(M26+N26))</f>
        <v>#DIV/0!</v>
      </c>
      <c r="E26" s="23" t="e">
        <f t="shared" si="2"/>
        <v>#DIV/0!</v>
      </c>
      <c r="F26" s="25">
        <f t="array" ref="F26">IF(OR(Informació!E29:E31="Temps màxim d'aplicació de la bonificació"),MAX(Informació!$E$18,VLOOKUP("Temps màxim d'aplicació de la bonificació",Informació!E29:G31,3,FALSE)),Informació!$E$18)</f>
        <v>0</v>
      </c>
      <c r="G26" s="25">
        <f>VLOOKUP(Informació!$D$5,'Base de dades Municipis'!$B$2:$G$717,5,TRUE)</f>
        <v>4116701</v>
      </c>
      <c r="H26" s="25" t="e">
        <f t="shared" si="3"/>
        <v>#DIV/0!</v>
      </c>
      <c r="I26" s="35"/>
      <c r="J26" s="1"/>
      <c r="K26" s="37">
        <f>SUMIF(Informació!E29:E31,"Quota de bonificació fixa",Informació!F29:F31)+SUMIF(Informació!E29:E31,"Temps màxim d'aplicació de la bonificació",Informació!F29:F31)+SUMIF(Informació!E29:E31,"Bonificar a partir d'un mínim de potència instal·lada",Informació!F29:F31)</f>
        <v>0</v>
      </c>
      <c r="L26" s="37">
        <f>Informació!$D$9+Informació!$D$10+Informació!$D$11-Resultats!K26</f>
        <v>70</v>
      </c>
      <c r="M26" s="39">
        <f>D13/(Informació!$D$9+Informació!$D$10+Informació!$D$11)*L26</f>
        <v>0</v>
      </c>
      <c r="N26" s="37" t="e">
        <f t="array" ref="N26">IF(OR(Informació!E29:E31="Bonificar a partir d'un mínim de potència instal·lada"),IF(VLOOKUP("Bonificar a partir d'un mínim de potència instal·lada",Informació!E29:G31,3,FALSE)&lt;0.25*Informació!D8,0.9,IF(VLOOKUP("Bonificar a partir d'un mínim de potència instal·lada",Informació!E29:G31,3,FALSE)&lt;0.6*Informació!D8,0.8,IF(VLOOKUP("Bonificar a partir d'un mínim de potència instal·lada",Informació!E29:G31,3,FALSE)=Informació!D8,0.5,IF(VLOOKUP("Bonificar a partir d'un mínim de potència instal·lada",Informació!E29:G31,3,FALSE)&lt;1.5*Informació!D8,0.25,0))))*N21/K21*SUMIF(Informació!E29:E31,"Bonificar a partir d'un mínim de potència instal·lada",Informació!F29:F31)+N21/K21*(K21-(K26-K21)),IF(Informació!E23&lt;0.25*Informació!D8,0.9,IF(Informació!E23&lt;0.6*Informació!D8,0.8,IF(Informació!E23=Informació!D8,0.5,IF(Informació!E23&lt;1.5*Informació!D8,0.25,0))))*N21/K21*K26)</f>
        <v>#DIV/0!</v>
      </c>
      <c r="O26" s="37"/>
      <c r="P26" s="37"/>
      <c r="Q26" s="37"/>
      <c r="R26" s="37"/>
      <c r="S26" s="38"/>
      <c r="U26" s="1"/>
      <c r="V26" s="1"/>
      <c r="W26" s="1"/>
      <c r="X26" s="1"/>
      <c r="Y26" s="1"/>
      <c r="Z26" s="1"/>
      <c r="AA26" s="1"/>
      <c r="AB26" s="1"/>
      <c r="AC26" s="1"/>
      <c r="AD26" s="1"/>
      <c r="AE26" s="1"/>
      <c r="AF26" s="1"/>
      <c r="AG26" s="1"/>
      <c r="AH26" s="1"/>
      <c r="AI26" s="1"/>
      <c r="AJ26" s="1"/>
      <c r="AK26" s="1"/>
      <c r="AL26" s="1"/>
    </row>
    <row r="27" spans="3:38" ht="45" x14ac:dyDescent="0.25">
      <c r="C27" s="12" t="s">
        <v>58</v>
      </c>
      <c r="D27" s="5" t="e">
        <f>IF(Informació!$D$24="No",Informació!$E$24/100*(M27+N27),(M27+N27))</f>
        <v>#DIV/0!</v>
      </c>
      <c r="E27" s="23" t="e">
        <f t="shared" si="2"/>
        <v>#DIV/0!</v>
      </c>
      <c r="F27" s="25" t="e">
        <f t="array" ref="F27">IF(OR(Informació!E29:E31="Topall màxim bonificable (€ màx)"),MAX(Informació!E21/Informació!E20,VLOOKUP("Topall màxim bonificable (€ màx)",Informació!E29:G31,3,FALSE)/Informació!E20),Informació!E21/Informació!E20)</f>
        <v>#DIV/0!</v>
      </c>
      <c r="G27" s="25">
        <f>VLOOKUP(Informació!$D$5,'Base de dades Municipis'!$B$2:$G$717,5,TRUE)</f>
        <v>4116701</v>
      </c>
      <c r="H27" s="25" t="e">
        <f t="shared" si="3"/>
        <v>#DIV/0!</v>
      </c>
      <c r="I27" s="35"/>
      <c r="J27" s="1"/>
      <c r="K27" s="37">
        <f>SUMIF(Informació!E29:E31,"Quota de bonificació fixa",Informació!F29:F31)+SUMIF(Informació!E29:E31,"Topall màxim bonificable",Informació!F29:F31)+SUMIF(Informació!E29:E31,"Bonificar a partir d'un mínim de potència instal·lada",Informació!F29:F31)</f>
        <v>0</v>
      </c>
      <c r="L27" s="37">
        <f>Informació!$D$9+Informació!$D$10+Informació!$D$11-Resultats!K27</f>
        <v>70</v>
      </c>
      <c r="M27" s="39">
        <f>D14/(Informació!$D$9+Informació!$D$10+Informació!$D$11)*L27</f>
        <v>0</v>
      </c>
      <c r="N27" s="37" t="e">
        <f t="array" ref="N27">IF(OR(Informació!E29:E31="Bonificar a partir d'un mínim de potència instal·lada"),IF(VLOOKUP("Bonificar a partir d'un mínim de potència instal·lada",Informació!E29:G31,3,FALSE)&lt;0.25*Informació!D8,0.9,IF(VLOOKUP("Bonificar a partir d'un mínim de potència instal·lada",Informació!E29:G31,3,FALSE)&lt;0.6*Informació!D8,0.8,IF(VLOOKUP("Bonificar a partir d'un mínim de potència instal·lada",Informació!E29:G31,3,FALSE)=Informació!D8,0.5,IF(VLOOKUP("Bonificar a partir d'un mínim de potència instal·lada",Informació!E29:G31,3,FALSE)&lt;1.5*Informació!D8,0.25,0))))*N22/K22*SUMIF(Informació!E29:E31,"Bonificar a partir d'un mínim de potència instal·lada",Informació!F29:F31)+N22/K22*(K22-(K27-K22)),IF(Informació!E23&lt;0.25*Informació!D8,0.9,IF(Informació!E23&lt;0.6*Informació!D8,0.8,IF(Informació!E23=Informació!D8,0.5,IF(Informació!E23&lt;1.5*Informació!D8,0.25,0))))*N22/K22*K27)</f>
        <v>#DIV/0!</v>
      </c>
      <c r="O27" s="37"/>
      <c r="P27" s="37"/>
      <c r="Q27" s="37"/>
      <c r="R27" s="37"/>
      <c r="S27" s="38"/>
      <c r="U27" s="1"/>
      <c r="V27" s="1"/>
      <c r="W27" s="1"/>
      <c r="X27" s="1"/>
      <c r="Y27" s="1"/>
      <c r="Z27" s="1"/>
      <c r="AA27" s="1"/>
      <c r="AB27" s="1"/>
      <c r="AC27" s="1"/>
      <c r="AD27" s="1"/>
      <c r="AE27" s="1"/>
      <c r="AF27" s="1"/>
      <c r="AG27" s="1"/>
      <c r="AH27" s="1"/>
      <c r="AI27" s="1"/>
      <c r="AJ27" s="1"/>
      <c r="AK27" s="1"/>
      <c r="AL27" s="1"/>
    </row>
    <row r="28" spans="3:38" x14ac:dyDescent="0.25">
      <c r="C28" s="1"/>
      <c r="E28" s="1"/>
      <c r="F28" s="1"/>
      <c r="G28" s="35"/>
      <c r="H28" s="35"/>
      <c r="I28" s="35"/>
      <c r="J28" s="1"/>
      <c r="K28" s="37"/>
      <c r="L28" s="37"/>
      <c r="M28" s="37"/>
      <c r="N28" s="37"/>
      <c r="O28" s="37"/>
      <c r="P28" s="37"/>
      <c r="Q28" s="37"/>
      <c r="R28" s="37"/>
      <c r="S28" s="38"/>
      <c r="U28" s="1"/>
      <c r="V28" s="1"/>
      <c r="W28" s="1"/>
      <c r="X28" s="1"/>
      <c r="Y28" s="1"/>
      <c r="Z28" s="1"/>
      <c r="AA28" s="1"/>
      <c r="AB28" s="1"/>
      <c r="AC28" s="1"/>
      <c r="AD28" s="1"/>
      <c r="AE28" s="1"/>
      <c r="AF28" s="1"/>
      <c r="AG28" s="1"/>
      <c r="AH28" s="1"/>
      <c r="AI28" s="1"/>
      <c r="AJ28" s="1"/>
      <c r="AK28" s="1"/>
      <c r="AL28" s="1"/>
    </row>
    <row r="29" spans="3:38" ht="37.5" customHeight="1" x14ac:dyDescent="0.25">
      <c r="C29" s="188" t="s">
        <v>35</v>
      </c>
      <c r="D29" s="188"/>
      <c r="E29" s="188"/>
      <c r="F29" s="188"/>
      <c r="G29" s="48"/>
      <c r="H29" s="48"/>
      <c r="I29" s="35"/>
      <c r="J29" s="1"/>
      <c r="K29" s="37"/>
      <c r="L29" s="37"/>
      <c r="M29" s="37"/>
      <c r="N29" s="37"/>
      <c r="O29" s="37"/>
      <c r="P29" s="37"/>
      <c r="Q29" s="37"/>
      <c r="R29" s="37"/>
      <c r="S29" s="38"/>
      <c r="U29" s="1"/>
      <c r="V29" s="1"/>
      <c r="W29" s="1"/>
      <c r="X29" s="1"/>
      <c r="Y29" s="1"/>
      <c r="Z29" s="1"/>
      <c r="AA29" s="1"/>
      <c r="AB29" s="1"/>
      <c r="AC29" s="1"/>
      <c r="AD29" s="1"/>
      <c r="AE29" s="1"/>
      <c r="AF29" s="1"/>
      <c r="AG29" s="1"/>
      <c r="AH29" s="1"/>
      <c r="AI29" s="1"/>
      <c r="AJ29" s="1"/>
      <c r="AK29" s="1"/>
      <c r="AL29" s="1"/>
    </row>
    <row r="30" spans="3:38" ht="48.75" customHeight="1" x14ac:dyDescent="0.25">
      <c r="C30" s="8" t="s">
        <v>48</v>
      </c>
      <c r="D30" s="17" t="s">
        <v>61</v>
      </c>
      <c r="E30" s="17" t="s">
        <v>62</v>
      </c>
      <c r="F30" s="17" t="s">
        <v>16</v>
      </c>
      <c r="G30" s="49" t="s">
        <v>403</v>
      </c>
      <c r="H30" s="49" t="s">
        <v>402</v>
      </c>
      <c r="I30" s="35"/>
      <c r="J30" s="1"/>
      <c r="K30" s="37" t="s">
        <v>42</v>
      </c>
      <c r="L30" s="37" t="s">
        <v>43</v>
      </c>
      <c r="M30" s="37" t="s">
        <v>44</v>
      </c>
      <c r="N30" s="37" t="s">
        <v>45</v>
      </c>
      <c r="O30" s="37"/>
      <c r="P30" s="37"/>
      <c r="Q30" s="37"/>
      <c r="R30" s="37"/>
      <c r="S30" s="38"/>
      <c r="U30" s="1"/>
      <c r="V30" s="1"/>
      <c r="W30" s="1"/>
      <c r="X30" s="1"/>
      <c r="Y30" s="1"/>
      <c r="Z30" s="1"/>
      <c r="AA30" s="1"/>
      <c r="AB30" s="1"/>
      <c r="AC30" s="1"/>
      <c r="AD30" s="1"/>
      <c r="AE30" s="1"/>
      <c r="AF30" s="1"/>
      <c r="AG30" s="1"/>
      <c r="AH30" s="1"/>
      <c r="AI30" s="1"/>
      <c r="AJ30" s="1"/>
      <c r="AK30" s="1"/>
      <c r="AL30" s="1"/>
    </row>
    <row r="31" spans="3:38" ht="27" customHeight="1" x14ac:dyDescent="0.25">
      <c r="C31" s="12" t="s">
        <v>49</v>
      </c>
      <c r="D31" s="5">
        <f>IF(Informació!$D$24="No",Informació!$E$24/100*(M31+N31),(M31+N31))</f>
        <v>0</v>
      </c>
      <c r="E31" s="24" t="e">
        <f t="shared" ref="E31:E40" si="4">D31/F31</f>
        <v>#DIV/0!</v>
      </c>
      <c r="F31" s="25">
        <f>IF(Informació!D36="Si",Informació!E36,Informació!E18)</f>
        <v>0</v>
      </c>
      <c r="G31" s="25">
        <f>VLOOKUP(Informació!$D$5,'Base de dades Municipis'!$B$2:$G$717,5,TRUE)</f>
        <v>4116701</v>
      </c>
      <c r="H31" s="25" t="e">
        <f>G31-E31</f>
        <v>#DIV/0!</v>
      </c>
      <c r="I31" s="35"/>
      <c r="J31" s="1"/>
      <c r="K31" s="37">
        <f>Informació!$D$10</f>
        <v>10</v>
      </c>
      <c r="L31" s="37">
        <f>Informació!$D$9+Informació!$D$11</f>
        <v>60</v>
      </c>
      <c r="M31" s="39">
        <f>D5/(Informació!$D$11+Informació!$D$10+Informació!$D$9)*L31</f>
        <v>0</v>
      </c>
      <c r="N31" s="37">
        <f>IF(AND(Informació!D36="Si",Informació!D37="Si"),Informació!E37/100*Informació!D6*Informació!E36*Resultats!K31,IF(AND(Informació!D36="Si",Informació!D37="No"),Informació!E36*Informació!E19/100*Informació!D6*Resultats!K31,IF(AND(Informació!D36="No",Informació!D37="Si"),Informació!E37/100*Informació!E18*Informació!D6*Resultats!K31,Informació!E18*Informació!E19/100*Informació!D6*Resultats!K31)))</f>
        <v>0</v>
      </c>
      <c r="O31" s="37"/>
      <c r="P31" s="37"/>
      <c r="Q31" s="37"/>
      <c r="R31" s="37"/>
      <c r="S31" s="38"/>
      <c r="U31" s="1"/>
      <c r="V31" s="1"/>
      <c r="W31" s="1"/>
      <c r="X31" s="1"/>
      <c r="Y31" s="1"/>
      <c r="Z31" s="1"/>
      <c r="AA31" s="1"/>
      <c r="AB31" s="1"/>
      <c r="AC31" s="1"/>
      <c r="AD31" s="1"/>
      <c r="AE31" s="1"/>
      <c r="AF31" s="1"/>
      <c r="AG31" s="1"/>
      <c r="AH31" s="1"/>
      <c r="AI31" s="1"/>
      <c r="AJ31" s="1"/>
      <c r="AK31" s="1"/>
      <c r="AL31" s="1"/>
    </row>
    <row r="32" spans="3:38" ht="24" customHeight="1" x14ac:dyDescent="0.25">
      <c r="C32" s="12" t="s">
        <v>50</v>
      </c>
      <c r="D32" s="5">
        <f>IF(Informació!$D$24="No",Informació!$E$24/100*(M32+N32),(M32+N32))</f>
        <v>0</v>
      </c>
      <c r="E32" s="24" t="e">
        <f t="shared" si="4"/>
        <v>#DIV/0!</v>
      </c>
      <c r="F32" s="25" t="e">
        <f>IF(AND(Informació!D39="Si",Informació!D37="Si"),Informació!P39/(Informació!E37/100*Informació!D6),IF(AND(Informació!D39="Si",Informació!D37="No"),Informació!P39/(Informació!E19/100*Informació!D6),IF(AND(Informació!D39="No",Informació!D37="Si"),Informació!P22/(Informació!E37/100*Informació!D6),Informació!P22/(Informació!D6*Informació!E19/100))))</f>
        <v>#DIV/0!</v>
      </c>
      <c r="G32" s="25">
        <f>VLOOKUP(Informació!$D$5,'Base de dades Municipis'!$B$2:$G$717,5,TRUE)</f>
        <v>4116701</v>
      </c>
      <c r="H32" s="25" t="e">
        <f t="shared" ref="H32:H40" si="5">G32-E32</f>
        <v>#DIV/0!</v>
      </c>
      <c r="I32" s="35"/>
      <c r="J32" s="1"/>
      <c r="K32" s="37">
        <f>Informació!$D$10</f>
        <v>10</v>
      </c>
      <c r="L32" s="37">
        <f>Informació!$D$9+Informació!$D$11</f>
        <v>60</v>
      </c>
      <c r="M32" s="39">
        <f>D6/(Informació!$D$11+Informació!$D$10+Informació!$D$9)*L32</f>
        <v>0</v>
      </c>
      <c r="N32" s="37">
        <f>IF(AND(Informació!D37="Si",Informació!D39="Si"),K32*Informació!P39,IF(AND(Informació!D37="Si",Informació!D39="No"),K32*Informació!P22,IF(AND(Informació!D37="No",Informació!D39="Si"),K32*Informació!P39,K32*Informació!P22)))</f>
        <v>0</v>
      </c>
      <c r="O32" s="37"/>
      <c r="P32" s="37"/>
      <c r="Q32" s="37"/>
      <c r="R32" s="37"/>
      <c r="S32" s="38"/>
      <c r="U32" s="1"/>
      <c r="V32" s="1"/>
      <c r="W32" s="1"/>
      <c r="X32" s="1"/>
      <c r="Y32" s="1"/>
      <c r="Z32" s="1"/>
      <c r="AA32" s="1"/>
      <c r="AB32" s="1"/>
      <c r="AC32" s="1"/>
      <c r="AD32" s="1"/>
      <c r="AE32" s="1"/>
      <c r="AF32" s="1"/>
      <c r="AG32" s="1"/>
      <c r="AH32" s="1"/>
      <c r="AI32" s="1"/>
      <c r="AJ32" s="1"/>
      <c r="AK32" s="1"/>
      <c r="AL32" s="1"/>
    </row>
    <row r="33" spans="3:38" ht="36" customHeight="1" x14ac:dyDescent="0.25">
      <c r="C33" s="12" t="s">
        <v>51</v>
      </c>
      <c r="D33" s="5">
        <f>IF(Informació!$D$24="No",Informació!$E$24/100*(M33+N33),(M33+N33))</f>
        <v>0</v>
      </c>
      <c r="E33" s="24" t="e">
        <f t="shared" si="4"/>
        <v>#DIV/0!</v>
      </c>
      <c r="F33" s="25" t="e">
        <f>MIN(F31:F32)</f>
        <v>#DIV/0!</v>
      </c>
      <c r="G33" s="25">
        <f>VLOOKUP(Informació!$D$5,'Base de dades Municipis'!$B$2:$G$717,5,TRUE)</f>
        <v>4116701</v>
      </c>
      <c r="H33" s="25" t="e">
        <f t="shared" si="5"/>
        <v>#DIV/0!</v>
      </c>
      <c r="I33" s="35"/>
      <c r="J33" s="1"/>
      <c r="K33" s="37">
        <f>Informació!$D$10</f>
        <v>10</v>
      </c>
      <c r="L33" s="37">
        <f>Informació!$D$9+Informació!$D$11</f>
        <v>60</v>
      </c>
      <c r="M33" s="39">
        <f>D7/(Informació!$D$11+Informació!$D$10+Informació!$D$9)*L33</f>
        <v>0</v>
      </c>
      <c r="N33" s="37">
        <f>MIN(N31:N32)</f>
        <v>0</v>
      </c>
      <c r="O33" s="37"/>
      <c r="P33" s="37"/>
      <c r="Q33" s="37"/>
      <c r="R33" s="37"/>
      <c r="S33" s="38"/>
      <c r="U33" s="1"/>
      <c r="V33" s="1"/>
      <c r="W33" s="1"/>
      <c r="X33" s="1"/>
      <c r="Y33" s="1"/>
      <c r="Z33" s="1"/>
      <c r="AA33" s="1"/>
      <c r="AB33" s="1"/>
      <c r="AC33" s="1"/>
      <c r="AD33" s="1"/>
      <c r="AE33" s="1"/>
      <c r="AF33" s="1"/>
      <c r="AG33" s="1"/>
      <c r="AH33" s="1"/>
      <c r="AI33" s="1"/>
      <c r="AJ33" s="1"/>
      <c r="AK33" s="1"/>
      <c r="AL33" s="1"/>
    </row>
    <row r="34" spans="3:38" ht="30" x14ac:dyDescent="0.25">
      <c r="C34" s="12" t="s">
        <v>52</v>
      </c>
      <c r="D34" s="5">
        <f>IF(Informació!$D$24="No",Informació!$E$24/100*(M34+N34),(M34+N34))</f>
        <v>0</v>
      </c>
      <c r="E34" s="24" t="e">
        <f t="shared" si="4"/>
        <v>#DIV/0!</v>
      </c>
      <c r="F34" s="25">
        <f>IF(Informació!D36="Si",Informació!E36,Informació!E18)</f>
        <v>0</v>
      </c>
      <c r="G34" s="25">
        <f>VLOOKUP(Informació!$D$5,'Base de dades Municipis'!$B$2:$G$717,5,TRUE)</f>
        <v>4116701</v>
      </c>
      <c r="H34" s="25" t="e">
        <f t="shared" si="5"/>
        <v>#DIV/0!</v>
      </c>
      <c r="I34" s="35"/>
      <c r="J34" s="1"/>
      <c r="K34" s="37">
        <f>Informació!$D$10</f>
        <v>10</v>
      </c>
      <c r="L34" s="37">
        <f>Informació!$D$9+Informació!$D$11</f>
        <v>60</v>
      </c>
      <c r="M34" s="39">
        <f>D8/(Informació!$D$11+Informació!$D$10+Informació!$D$9)*L34</f>
        <v>0</v>
      </c>
      <c r="N34" s="37">
        <f>IF(AND(Informació!D36="Si",Informació!D38="Si"),Informació!E36*Informació!E38,IF(AND(Informació!D36="Si",Informació!D38="No"),Informació!E36*Informació!E20,IF(AND(Informació!D36="No",Informació!D38="Si"),Informació!E18*Informació!E38,Informació!E20*Informació!E18)))*K34</f>
        <v>0</v>
      </c>
      <c r="O34" s="37"/>
      <c r="P34" s="37"/>
      <c r="Q34" s="37"/>
      <c r="R34" s="37"/>
      <c r="S34" s="38"/>
      <c r="U34" s="1"/>
      <c r="V34" s="1"/>
      <c r="W34" s="1"/>
      <c r="X34" s="1"/>
      <c r="Y34" s="1"/>
      <c r="Z34" s="1"/>
      <c r="AA34" s="1"/>
      <c r="AB34" s="1"/>
      <c r="AC34" s="1"/>
      <c r="AD34" s="1"/>
      <c r="AE34" s="1"/>
      <c r="AF34" s="1"/>
      <c r="AG34" s="1"/>
      <c r="AH34" s="1"/>
      <c r="AI34" s="1"/>
      <c r="AJ34" s="1"/>
      <c r="AK34" s="1"/>
      <c r="AL34" s="1"/>
    </row>
    <row r="35" spans="3:38" ht="24" customHeight="1" x14ac:dyDescent="0.25">
      <c r="C35" s="12" t="s">
        <v>53</v>
      </c>
      <c r="D35" s="5">
        <f>IF(Informació!$D$24="No",Informació!$E$24/100*(M35+N35),(M35+N35))</f>
        <v>0</v>
      </c>
      <c r="E35" s="24" t="e">
        <f t="shared" si="4"/>
        <v>#DIV/0!</v>
      </c>
      <c r="F35" s="25" t="e">
        <f>IF(AND(Informació!D39="Si",Informació!D38="Si"),Informació!P39/Informació!E38,IF(AND(Informació!D39="Si",Informació!D38="No"),Informació!P39/Informació!E20,IF(AND(Informació!D39="No",Informació!D38="Si"),Informació!P22/Informació!E38,Informació!P22/Informació!E20)))</f>
        <v>#DIV/0!</v>
      </c>
      <c r="G35" s="25">
        <f>VLOOKUP(Informació!$D$5,'Base de dades Municipis'!$B$2:$G$717,5,TRUE)</f>
        <v>4116701</v>
      </c>
      <c r="H35" s="25" t="e">
        <f t="shared" si="5"/>
        <v>#DIV/0!</v>
      </c>
      <c r="I35" s="35"/>
      <c r="J35" s="1"/>
      <c r="K35" s="37">
        <f>Informació!$D$10</f>
        <v>10</v>
      </c>
      <c r="L35" s="37">
        <f>Informació!$D$9+Informació!$D$11</f>
        <v>60</v>
      </c>
      <c r="M35" s="39">
        <f>D9/(Informació!$D$11+Informació!$D$10+Informació!$D$9)*L35</f>
        <v>0</v>
      </c>
      <c r="N35" s="37">
        <f>IF(AND(Informació!D38="Si",Informació!D39="Si"),K35*Informació!P39,IF(AND(Informació!D38="Si",Informació!D39="No"),K35*Informació!P22,IF(AND(Informació!D38="No",Informació!D39="Si"),K35*Informació!P39,K35*Informació!P22)))</f>
        <v>0</v>
      </c>
      <c r="O35" s="37"/>
      <c r="P35" s="37"/>
      <c r="Q35" s="37"/>
      <c r="R35" s="37"/>
      <c r="S35" s="38"/>
      <c r="U35" s="1"/>
      <c r="V35" s="1"/>
      <c r="W35" s="1"/>
      <c r="X35" s="1"/>
      <c r="Y35" s="1"/>
      <c r="Z35" s="1"/>
      <c r="AA35" s="1"/>
      <c r="AB35" s="1"/>
      <c r="AC35" s="1"/>
      <c r="AD35" s="1"/>
      <c r="AE35" s="1"/>
      <c r="AF35" s="1"/>
      <c r="AG35" s="1"/>
      <c r="AH35" s="1"/>
      <c r="AI35" s="1"/>
      <c r="AJ35" s="1"/>
      <c r="AK35" s="1"/>
      <c r="AL35" s="1"/>
    </row>
    <row r="36" spans="3:38" ht="45" x14ac:dyDescent="0.25">
      <c r="C36" s="12" t="s">
        <v>54</v>
      </c>
      <c r="D36" s="5">
        <f>IF(Informació!$D$24="No",Informació!$E$24/100*(M36+N36),(M36+N36))</f>
        <v>0</v>
      </c>
      <c r="E36" s="24" t="e">
        <f t="shared" si="4"/>
        <v>#DIV/0!</v>
      </c>
      <c r="F36" s="25">
        <f>IF(Informació!D36="Si",Informació!E36,Informació!E18)</f>
        <v>0</v>
      </c>
      <c r="G36" s="25">
        <f>VLOOKUP(Informació!$D$5,'Base de dades Municipis'!$B$2:$G$717,5,TRUE)</f>
        <v>4116701</v>
      </c>
      <c r="H36" s="25" t="e">
        <f t="shared" si="5"/>
        <v>#DIV/0!</v>
      </c>
      <c r="I36" s="35"/>
      <c r="J36" s="1"/>
      <c r="K36" s="37">
        <f>Informació!$D$10</f>
        <v>10</v>
      </c>
      <c r="L36" s="37">
        <f>Informació!$D$9+Informació!$D$11</f>
        <v>60</v>
      </c>
      <c r="M36" s="39">
        <f>D10/(Informació!$D$11+Informació!$D$10+Informació!$D$9)*L36</f>
        <v>0</v>
      </c>
      <c r="N36" s="37">
        <f>IF(Informació!D41="Si",IF(Informació!E41&lt;0.25*Informació!D8,0.9,IF(Informació!E41&lt;0.6*Informació!D8,0.8,IF(Informació!E41=Informació!D8,0.5,IF(Informació!E41&lt;1.5*Informació!D8,0.25,0))))*N31,IF(Informació!E23&lt;0.25*Informació!D8,0.9,IF(Informació!E23&lt;0.6*Informació!D8,0.8,IF(Informació!E23=Informació!D8,0.5,IF(Informació!E23&lt;1.5*Informació!D8,0.25,0))))*N31)</f>
        <v>0</v>
      </c>
      <c r="O36" s="37"/>
      <c r="P36" s="37"/>
      <c r="Q36" s="37"/>
      <c r="R36" s="37"/>
      <c r="S36" s="38"/>
      <c r="U36" s="1"/>
      <c r="V36" s="1"/>
      <c r="W36" s="1"/>
      <c r="X36" s="1"/>
      <c r="Y36" s="1"/>
      <c r="Z36" s="1"/>
      <c r="AA36" s="1"/>
      <c r="AB36" s="1"/>
      <c r="AC36" s="1"/>
      <c r="AD36" s="1"/>
      <c r="AE36" s="1"/>
      <c r="AF36" s="1"/>
      <c r="AG36" s="1"/>
      <c r="AH36" s="1"/>
      <c r="AI36" s="1"/>
      <c r="AJ36" s="1"/>
      <c r="AK36" s="1"/>
      <c r="AL36" s="1"/>
    </row>
    <row r="37" spans="3:38" ht="45" x14ac:dyDescent="0.25">
      <c r="C37" s="12" t="s">
        <v>55</v>
      </c>
      <c r="D37" s="5">
        <f>IF(Informació!$D$24="No",Informació!$E$24/100*(M37+N37),(M37+N37))</f>
        <v>0</v>
      </c>
      <c r="E37" s="24" t="e">
        <f t="shared" si="4"/>
        <v>#DIV/0!</v>
      </c>
      <c r="F37" s="25" t="e">
        <f>IF(AND(Informació!D39="Si",Informació!D37="Si"),Informació!P39/(Informació!E37/100*Informació!D6),IF(AND(Informació!D39="Si",Informació!D37="No"),Informació!P39/(Informació!E19/100*Informació!D6),IF(AND(Informació!D39="No",Informació!D37="Si"),Informació!P22/(Informació!E37/100*Informació!D6),Informació!P22/(Informació!D6*Informació!E19/100))))</f>
        <v>#DIV/0!</v>
      </c>
      <c r="G37" s="25">
        <f>VLOOKUP(Informació!$D$5,'Base de dades Municipis'!$B$2:$G$717,5,TRUE)</f>
        <v>4116701</v>
      </c>
      <c r="H37" s="25" t="e">
        <f t="shared" si="5"/>
        <v>#DIV/0!</v>
      </c>
      <c r="I37" s="35"/>
      <c r="J37" s="1"/>
      <c r="K37" s="37">
        <f>Informació!$D$10</f>
        <v>10</v>
      </c>
      <c r="L37" s="37">
        <f>Informació!$D$9+Informació!$D$11</f>
        <v>60</v>
      </c>
      <c r="M37" s="39">
        <f>D11/(Informació!$D$11+Informació!$D$10+Informació!$D$9)*L37</f>
        <v>0</v>
      </c>
      <c r="N37" s="37">
        <f>IF(Informació!D41="Si",IF(Informació!E41&lt;0.25*Informació!D8,0.9,IF(Informació!E41&lt;0.6*Informació!D8,0.8,IF(Informació!E41=Informació!D8,0.5,IF(Informació!E41&lt;1.5*Informació!D8,0.25,0))))*N32,IF(Informació!E23&lt;0.25*Informació!D8,0.9,IF(Informació!E23&lt;0.6*Informació!D8,0.8,IF(Informació!E23=Informació!D8,0.5,IF(Informació!E23&lt;1.5*Informació!D8,0.25,0))))*N32)</f>
        <v>0</v>
      </c>
      <c r="O37" s="37"/>
      <c r="P37" s="37"/>
      <c r="Q37" s="37"/>
      <c r="R37" s="37"/>
      <c r="S37" s="38"/>
      <c r="U37" s="1"/>
      <c r="V37" s="1"/>
      <c r="W37" s="1"/>
      <c r="X37" s="1"/>
      <c r="Y37" s="1"/>
      <c r="Z37" s="1"/>
      <c r="AA37" s="1"/>
      <c r="AB37" s="1"/>
      <c r="AC37" s="1"/>
      <c r="AD37" s="1"/>
      <c r="AE37" s="1"/>
      <c r="AF37" s="1"/>
      <c r="AG37" s="1"/>
      <c r="AH37" s="1"/>
      <c r="AI37" s="1"/>
      <c r="AJ37" s="1"/>
      <c r="AK37" s="1"/>
      <c r="AL37" s="1"/>
    </row>
    <row r="38" spans="3:38" ht="60" x14ac:dyDescent="0.25">
      <c r="C38" s="12" t="s">
        <v>56</v>
      </c>
      <c r="D38" s="5">
        <f>IF(Informació!$D$24="No",Informació!$E$24/100*(M38+N38),(M38+N38))</f>
        <v>0</v>
      </c>
      <c r="E38" s="24" t="e">
        <f t="shared" si="4"/>
        <v>#DIV/0!</v>
      </c>
      <c r="F38" s="25" t="e">
        <f>MIN(F36:F37)</f>
        <v>#DIV/0!</v>
      </c>
      <c r="G38" s="25">
        <f>VLOOKUP(Informació!$D$5,'Base de dades Municipis'!$B$2:$G$717,5,TRUE)</f>
        <v>4116701</v>
      </c>
      <c r="H38" s="25" t="e">
        <f t="shared" si="5"/>
        <v>#DIV/0!</v>
      </c>
      <c r="I38" s="35"/>
      <c r="J38" s="1"/>
      <c r="K38" s="37">
        <f>Informació!$D$10</f>
        <v>10</v>
      </c>
      <c r="L38" s="37">
        <f>Informació!$D$9+Informació!$D$11</f>
        <v>60</v>
      </c>
      <c r="M38" s="39">
        <f>D12/(Informació!$D$11+Informació!$D$10+Informació!$D$9)*L38</f>
        <v>0</v>
      </c>
      <c r="N38" s="37">
        <f>IF(Informació!D41="Si",IF(Informació!E41&lt;0.25*Informació!D8,0.9,IF(Informació!E41&lt;0.6*Informació!D8,0.8,IF(Informació!E41=Informació!D8,0.5,IF(Informació!E41&lt;1.5*Informació!D8,0.25,0))))*N33,IF(Informació!E23&lt;0.25*Informació!D8,0.9,IF(Informació!E23&lt;0.6*Informació!D8,0.8,IF(Informació!E23=Informació!D8,0.5,IF(Informació!E23&lt;1.5*Informació!D8,0.25,0))))*N33)</f>
        <v>0</v>
      </c>
      <c r="O38" s="37"/>
      <c r="P38" s="37"/>
      <c r="Q38" s="37"/>
      <c r="R38" s="37"/>
      <c r="S38" s="38"/>
      <c r="U38" s="1"/>
      <c r="V38" s="1"/>
      <c r="W38" s="1"/>
      <c r="X38" s="1"/>
      <c r="Y38" s="1"/>
      <c r="Z38" s="1"/>
      <c r="AA38" s="1"/>
      <c r="AB38" s="1"/>
      <c r="AC38" s="1"/>
      <c r="AD38" s="1"/>
      <c r="AE38" s="1"/>
      <c r="AF38" s="1"/>
      <c r="AG38" s="1"/>
      <c r="AH38" s="1"/>
      <c r="AI38" s="1"/>
      <c r="AJ38" s="1"/>
      <c r="AK38" s="1"/>
      <c r="AL38" s="1"/>
    </row>
    <row r="39" spans="3:38" ht="45" x14ac:dyDescent="0.25">
      <c r="C39" s="12" t="s">
        <v>57</v>
      </c>
      <c r="D39" s="5">
        <f>IF(Informació!$D$24="No",Informació!$E$24/100*(M39+N39),(M39+N39))</f>
        <v>0</v>
      </c>
      <c r="E39" s="24" t="e">
        <f t="shared" si="4"/>
        <v>#DIV/0!</v>
      </c>
      <c r="F39" s="25">
        <f>IF(Informació!D36="Si",Informació!E36,Informació!E18)</f>
        <v>0</v>
      </c>
      <c r="G39" s="25">
        <f>VLOOKUP(Informació!$D$5,'Base de dades Municipis'!$B$2:$G$717,5,TRUE)</f>
        <v>4116701</v>
      </c>
      <c r="H39" s="25" t="e">
        <f t="shared" si="5"/>
        <v>#DIV/0!</v>
      </c>
      <c r="I39" s="35"/>
      <c r="J39" s="1"/>
      <c r="K39" s="37">
        <f>Informació!$D$10</f>
        <v>10</v>
      </c>
      <c r="L39" s="37">
        <f>Informació!$D$9+Informació!$D$11</f>
        <v>60</v>
      </c>
      <c r="M39" s="39">
        <f>D13/(Informació!$D$11+Informació!$D$10+Informació!$D$9)*L39</f>
        <v>0</v>
      </c>
      <c r="N39" s="37">
        <f>IF(Informació!D41="Si",IF(Informació!E41&lt;0.25*Informació!D8,0.9,IF(Informació!E41&lt;0.6*Informació!D8,0.8,IF(Informació!E41=Informació!D8,0.5,IF(Informació!E41&lt;1.5*Informació!D8,0.25,0))))*N34,IF(Informació!E23&lt;0.25*Informació!D8,0.9,IF(Informació!E23&lt;0.6*Informació!D8,0.8,IF(Informació!E23=Informació!D8,0.5,IF(Informació!E23&lt;1.5*Informació!D8,0.25,0))))*N34)</f>
        <v>0</v>
      </c>
      <c r="O39" s="37"/>
      <c r="P39" s="37"/>
      <c r="Q39" s="37"/>
      <c r="R39" s="37"/>
      <c r="S39" s="38"/>
      <c r="U39" s="1"/>
      <c r="V39" s="1"/>
      <c r="W39" s="1"/>
      <c r="X39" s="1"/>
      <c r="Y39" s="1"/>
      <c r="Z39" s="1"/>
      <c r="AA39" s="1"/>
      <c r="AB39" s="1"/>
      <c r="AC39" s="1"/>
      <c r="AD39" s="1"/>
      <c r="AE39" s="1"/>
      <c r="AF39" s="1"/>
      <c r="AG39" s="1"/>
      <c r="AH39" s="1"/>
      <c r="AI39" s="1"/>
      <c r="AJ39" s="1"/>
      <c r="AK39" s="1"/>
      <c r="AL39" s="1"/>
    </row>
    <row r="40" spans="3:38" ht="45" x14ac:dyDescent="0.25">
      <c r="C40" s="12" t="s">
        <v>58</v>
      </c>
      <c r="D40" s="5">
        <f>IF(Informació!$D$24="No",Informació!$E$24/100*(M40+N40),(M40+N40))</f>
        <v>0</v>
      </c>
      <c r="E40" s="24" t="e">
        <f t="shared" si="4"/>
        <v>#DIV/0!</v>
      </c>
      <c r="F40" s="25" t="e">
        <f>IF(AND(Informació!D39="Si",Informació!D38="Si"),Informació!P39/Informació!E38,IF(AND(Informació!D39="Si",Informació!D38="No"),Informació!P39/Informació!E20,IF(AND(Informació!D39="No",Informació!D38="Si"),Informació!P22/Informació!E38,Informació!P22/Informació!E20)))</f>
        <v>#DIV/0!</v>
      </c>
      <c r="G40" s="25">
        <f>VLOOKUP(Informació!$D$5,'Base de dades Municipis'!$B$2:$G$717,5,TRUE)</f>
        <v>4116701</v>
      </c>
      <c r="H40" s="25" t="e">
        <f t="shared" si="5"/>
        <v>#DIV/0!</v>
      </c>
      <c r="I40" s="35"/>
      <c r="J40" s="1"/>
      <c r="K40" s="37">
        <f>Informació!$D$10</f>
        <v>10</v>
      </c>
      <c r="L40" s="37">
        <f>Informació!$D$9+Informació!$D$11</f>
        <v>60</v>
      </c>
      <c r="M40" s="39">
        <f>D14/(Informació!$D$11+Informació!$D$10+Informació!$D$9)*L40</f>
        <v>0</v>
      </c>
      <c r="N40" s="37">
        <f>IF(Informació!D41="Si",IF(Informació!E41&lt;0.25*Informació!D8,0.9,IF(Informació!E41&lt;0.6*Informació!D8,0.8,IF(Informació!E41=Informació!D8,0.5,IF(Informació!E41&lt;1.5*Informació!D8,0.25,0))))*N35,IF(Informació!E23&lt;0.25*Informació!D8,0.9,IF(Informació!E23&lt;0.6*Informació!D8,0.8,IF(Informació!E23=Informació!D8,0.5,IF(Informació!E23&lt;1.5*Informació!D8,0.25,0))))*N35)</f>
        <v>0</v>
      </c>
      <c r="O40" s="37"/>
      <c r="P40" s="37"/>
      <c r="Q40" s="37"/>
      <c r="R40" s="37"/>
      <c r="S40" s="38"/>
      <c r="U40" s="1"/>
      <c r="V40" s="1"/>
      <c r="W40" s="1"/>
      <c r="X40" s="1"/>
      <c r="Y40" s="1"/>
      <c r="Z40" s="1"/>
      <c r="AA40" s="1"/>
      <c r="AB40" s="1"/>
      <c r="AC40" s="1"/>
      <c r="AD40" s="1"/>
      <c r="AE40" s="1"/>
      <c r="AF40" s="1"/>
      <c r="AG40" s="1"/>
      <c r="AH40" s="1"/>
      <c r="AI40" s="1"/>
      <c r="AJ40" s="1"/>
      <c r="AK40" s="1"/>
      <c r="AL40" s="1"/>
    </row>
    <row r="41" spans="3:38" x14ac:dyDescent="0.25">
      <c r="C41" s="1"/>
      <c r="E41" s="1"/>
      <c r="F41" s="1"/>
      <c r="G41" s="35"/>
      <c r="H41" s="35"/>
      <c r="I41" s="35"/>
      <c r="J41" s="1"/>
      <c r="K41" s="37"/>
      <c r="L41" s="37"/>
      <c r="M41" s="37"/>
      <c r="N41" s="37"/>
      <c r="O41" s="37"/>
      <c r="P41" s="37"/>
      <c r="Q41" s="37"/>
      <c r="R41" s="37"/>
      <c r="S41" s="38"/>
      <c r="U41" s="1"/>
      <c r="V41" s="1"/>
      <c r="W41" s="1"/>
      <c r="X41" s="1"/>
      <c r="Y41" s="1"/>
      <c r="Z41" s="1"/>
      <c r="AA41" s="1"/>
      <c r="AB41" s="1"/>
      <c r="AC41" s="1"/>
      <c r="AD41" s="1"/>
      <c r="AE41" s="1"/>
      <c r="AF41" s="1"/>
      <c r="AG41" s="1"/>
      <c r="AH41" s="1"/>
      <c r="AI41" s="1"/>
      <c r="AJ41" s="1"/>
      <c r="AK41" s="1"/>
      <c r="AL41" s="1"/>
    </row>
    <row r="42" spans="3:38" ht="37.5" customHeight="1" x14ac:dyDescent="0.25">
      <c r="C42" s="188" t="s">
        <v>36</v>
      </c>
      <c r="D42" s="188"/>
      <c r="E42" s="188"/>
      <c r="F42" s="188"/>
      <c r="G42" s="48"/>
      <c r="H42" s="48"/>
      <c r="I42" s="35"/>
      <c r="J42" s="1"/>
      <c r="K42" s="37"/>
      <c r="L42" s="37"/>
      <c r="M42" s="37"/>
      <c r="N42" s="37"/>
      <c r="O42" s="37"/>
      <c r="P42" s="37"/>
      <c r="Q42" s="37"/>
      <c r="R42" s="37"/>
      <c r="S42" s="38"/>
      <c r="U42" s="1"/>
      <c r="V42" s="1"/>
      <c r="W42" s="1"/>
      <c r="X42" s="1"/>
      <c r="Y42" s="1"/>
      <c r="Z42" s="1"/>
      <c r="AA42" s="1"/>
      <c r="AB42" s="1"/>
      <c r="AC42" s="1"/>
      <c r="AD42" s="1"/>
      <c r="AE42" s="1"/>
      <c r="AF42" s="1"/>
      <c r="AG42" s="1"/>
      <c r="AH42" s="1"/>
      <c r="AI42" s="1"/>
      <c r="AJ42" s="1"/>
      <c r="AK42" s="1"/>
      <c r="AL42" s="1"/>
    </row>
    <row r="43" spans="3:38" ht="52.5" customHeight="1" x14ac:dyDescent="0.25">
      <c r="C43" s="8" t="s">
        <v>48</v>
      </c>
      <c r="D43" s="17" t="s">
        <v>61</v>
      </c>
      <c r="E43" s="17" t="s">
        <v>62</v>
      </c>
      <c r="F43" s="17" t="s">
        <v>16</v>
      </c>
      <c r="G43" s="49" t="s">
        <v>403</v>
      </c>
      <c r="H43" s="49" t="s">
        <v>402</v>
      </c>
      <c r="I43" s="35"/>
      <c r="J43" s="1"/>
      <c r="K43" s="37" t="s">
        <v>39</v>
      </c>
      <c r="L43" s="37" t="s">
        <v>38</v>
      </c>
      <c r="M43" s="37" t="s">
        <v>40</v>
      </c>
      <c r="N43" s="37" t="s">
        <v>41</v>
      </c>
      <c r="O43" s="37"/>
      <c r="P43" s="37"/>
      <c r="Q43" s="37"/>
      <c r="R43" s="37"/>
      <c r="S43" s="38"/>
      <c r="U43" s="1"/>
      <c r="V43" s="1"/>
      <c r="W43" s="1"/>
      <c r="X43" s="1"/>
      <c r="Y43" s="1"/>
      <c r="Z43" s="1"/>
      <c r="AA43" s="1"/>
      <c r="AB43" s="1"/>
      <c r="AC43" s="1"/>
      <c r="AD43" s="1"/>
      <c r="AE43" s="1"/>
      <c r="AF43" s="1"/>
      <c r="AG43" s="1"/>
      <c r="AH43" s="1"/>
      <c r="AI43" s="1"/>
      <c r="AJ43" s="1"/>
      <c r="AK43" s="1"/>
      <c r="AL43" s="1"/>
    </row>
    <row r="44" spans="3:38" ht="26.25" customHeight="1" x14ac:dyDescent="0.25">
      <c r="C44" s="12" t="s">
        <v>49</v>
      </c>
      <c r="D44" s="23">
        <f>IF(Informació!$D$24="No",Informació!$E$24/100*(M44+N44),(M44+N44))</f>
        <v>0</v>
      </c>
      <c r="E44" s="23" t="e">
        <f t="shared" ref="E44:E53" si="6">D44/F44</f>
        <v>#DIV/0!</v>
      </c>
      <c r="F44" s="25">
        <f>MAX(F31,F18,F5)</f>
        <v>0</v>
      </c>
      <c r="G44" s="25">
        <f>VLOOKUP(Informació!$D$5,'Base de dades Municipis'!$B$2:$G$717,5,TRUE)</f>
        <v>4116701</v>
      </c>
      <c r="H44" s="25" t="e">
        <f>G44-E44</f>
        <v>#DIV/0!</v>
      </c>
      <c r="I44" s="35"/>
      <c r="J44" s="1"/>
      <c r="K44" s="37">
        <f>K31+K18</f>
        <v>10</v>
      </c>
      <c r="L44" s="37">
        <f>Informació!$D$9+Informació!$D$10+Informació!$D$11-Resultats!K44</f>
        <v>60</v>
      </c>
      <c r="M44" s="39">
        <f>D5/(Informació!$D$11+Informació!$D$10+Informació!$D$9)*L44</f>
        <v>0</v>
      </c>
      <c r="N44" s="37">
        <f>N31+N18</f>
        <v>0</v>
      </c>
      <c r="O44" s="37"/>
      <c r="P44" s="37"/>
      <c r="Q44" s="37"/>
      <c r="R44" s="37"/>
      <c r="S44" s="38"/>
      <c r="U44" s="1"/>
      <c r="V44" s="1"/>
      <c r="W44" s="1"/>
      <c r="X44" s="1"/>
      <c r="Y44" s="1"/>
      <c r="Z44" s="1"/>
      <c r="AA44" s="1"/>
      <c r="AB44" s="1"/>
      <c r="AC44" s="1"/>
      <c r="AD44" s="1"/>
      <c r="AE44" s="1"/>
      <c r="AF44" s="1"/>
      <c r="AG44" s="1"/>
      <c r="AH44" s="1"/>
      <c r="AI44" s="1"/>
      <c r="AJ44" s="1"/>
      <c r="AK44" s="1"/>
      <c r="AL44" s="1"/>
    </row>
    <row r="45" spans="3:38" ht="23.25" customHeight="1" x14ac:dyDescent="0.25">
      <c r="C45" s="12" t="s">
        <v>50</v>
      </c>
      <c r="D45" s="23">
        <f>IF(Informació!$D$24="No",Informació!$E$24/100*(M45+N45),(M45+N45))</f>
        <v>0</v>
      </c>
      <c r="E45" s="23" t="e">
        <f t="shared" si="6"/>
        <v>#DIV/0!</v>
      </c>
      <c r="F45" s="25" t="e">
        <f t="shared" ref="F45:F53" si="7">MAX(F32,F19,F6)</f>
        <v>#DIV/0!</v>
      </c>
      <c r="G45" s="25">
        <f>VLOOKUP(Informació!$D$5,'Base de dades Municipis'!$B$2:$G$717,5,TRUE)</f>
        <v>4116701</v>
      </c>
      <c r="H45" s="25" t="e">
        <f t="shared" ref="H45:H53" si="8">G45-E45</f>
        <v>#DIV/0!</v>
      </c>
      <c r="I45" s="35"/>
      <c r="J45" s="1"/>
      <c r="K45" s="37">
        <f t="shared" ref="K45:K53" si="9">K32+K19</f>
        <v>10</v>
      </c>
      <c r="L45" s="37">
        <f>Informació!$D$9+Informació!$D$10+Informació!$D$11-Resultats!K45</f>
        <v>60</v>
      </c>
      <c r="M45" s="39">
        <f>D6/(Informació!$D$11+Informació!$D$10+Informació!$D$9)*L45</f>
        <v>0</v>
      </c>
      <c r="N45" s="37">
        <f t="shared" ref="N45:N53" si="10">N32+N19</f>
        <v>0</v>
      </c>
      <c r="O45" s="37"/>
      <c r="P45" s="37"/>
      <c r="Q45" s="37"/>
      <c r="R45" s="37"/>
      <c r="S45" s="38"/>
      <c r="U45" s="1"/>
      <c r="V45" s="1"/>
      <c r="W45" s="1"/>
      <c r="X45" s="1"/>
      <c r="Y45" s="1"/>
      <c r="Z45" s="1"/>
      <c r="AA45" s="1"/>
      <c r="AB45" s="1"/>
      <c r="AC45" s="1"/>
      <c r="AD45" s="1"/>
      <c r="AE45" s="1"/>
      <c r="AF45" s="1"/>
      <c r="AG45" s="1"/>
      <c r="AH45" s="1"/>
      <c r="AI45" s="1"/>
      <c r="AJ45" s="1"/>
      <c r="AK45" s="1"/>
      <c r="AL45" s="1"/>
    </row>
    <row r="46" spans="3:38" ht="35.25" customHeight="1" x14ac:dyDescent="0.25">
      <c r="C46" s="12" t="s">
        <v>51</v>
      </c>
      <c r="D46" s="23">
        <f>IF(Informació!$D$24="No",Informació!$E$24/100*(M46+N46),(M46+N46))</f>
        <v>0</v>
      </c>
      <c r="E46" s="23" t="e">
        <f t="shared" si="6"/>
        <v>#DIV/0!</v>
      </c>
      <c r="F46" s="25" t="e">
        <f t="shared" si="7"/>
        <v>#DIV/0!</v>
      </c>
      <c r="G46" s="25">
        <f>VLOOKUP(Informació!$D$5,'Base de dades Municipis'!$B$2:$G$717,5,TRUE)</f>
        <v>4116701</v>
      </c>
      <c r="H46" s="25" t="e">
        <f t="shared" si="8"/>
        <v>#DIV/0!</v>
      </c>
      <c r="I46" s="35"/>
      <c r="J46" s="1"/>
      <c r="K46" s="37">
        <f t="shared" si="9"/>
        <v>10</v>
      </c>
      <c r="L46" s="37">
        <f>Informació!$D$9+Informació!$D$10+Informació!$D$11-Resultats!K46</f>
        <v>60</v>
      </c>
      <c r="M46" s="39">
        <f>D7/(Informació!$D$11+Informació!$D$10+Informació!$D$9)*L46</f>
        <v>0</v>
      </c>
      <c r="N46" s="37">
        <f t="shared" si="10"/>
        <v>0</v>
      </c>
      <c r="O46" s="37"/>
      <c r="P46" s="37"/>
      <c r="Q46" s="37"/>
      <c r="R46" s="37"/>
      <c r="S46" s="38"/>
      <c r="U46" s="1"/>
      <c r="V46" s="1"/>
      <c r="W46" s="1"/>
      <c r="X46" s="1"/>
      <c r="Y46" s="1"/>
      <c r="Z46" s="1"/>
      <c r="AA46" s="1"/>
      <c r="AB46" s="1"/>
      <c r="AC46" s="1"/>
      <c r="AD46" s="1"/>
      <c r="AE46" s="1"/>
      <c r="AF46" s="1"/>
      <c r="AG46" s="1"/>
      <c r="AH46" s="1"/>
      <c r="AI46" s="1"/>
      <c r="AJ46" s="1"/>
      <c r="AK46" s="1"/>
      <c r="AL46" s="1"/>
    </row>
    <row r="47" spans="3:38" ht="30" x14ac:dyDescent="0.25">
      <c r="C47" s="12" t="s">
        <v>52</v>
      </c>
      <c r="D47" s="23">
        <f>IF(Informació!$D$24="No",Informació!$E$24/100*(M47+N47),(M47+N47))</f>
        <v>0</v>
      </c>
      <c r="E47" s="23" t="e">
        <f t="shared" si="6"/>
        <v>#DIV/0!</v>
      </c>
      <c r="F47" s="25">
        <f t="shared" si="7"/>
        <v>0</v>
      </c>
      <c r="G47" s="25">
        <f>VLOOKUP(Informació!$D$5,'Base de dades Municipis'!$B$2:$G$717,5,TRUE)</f>
        <v>4116701</v>
      </c>
      <c r="H47" s="25" t="e">
        <f t="shared" si="8"/>
        <v>#DIV/0!</v>
      </c>
      <c r="I47" s="35"/>
      <c r="J47" s="1"/>
      <c r="K47" s="37">
        <f t="shared" si="9"/>
        <v>10</v>
      </c>
      <c r="L47" s="37">
        <f>Informació!$D$9+Informació!$D$10+Informació!$D$11-Resultats!K47</f>
        <v>60</v>
      </c>
      <c r="M47" s="39">
        <f>D8/(Informació!$D$11+Informació!$D$10+Informació!$D$9)*L47</f>
        <v>0</v>
      </c>
      <c r="N47" s="37">
        <f t="shared" si="10"/>
        <v>0</v>
      </c>
      <c r="O47" s="37"/>
      <c r="P47" s="37"/>
      <c r="Q47" s="37"/>
      <c r="R47" s="37"/>
      <c r="S47" s="38"/>
      <c r="U47" s="1"/>
      <c r="V47" s="1"/>
      <c r="W47" s="1"/>
      <c r="X47" s="1"/>
      <c r="Y47" s="1"/>
      <c r="Z47" s="1"/>
      <c r="AA47" s="1"/>
      <c r="AB47" s="1"/>
      <c r="AC47" s="1"/>
      <c r="AD47" s="1"/>
      <c r="AE47" s="1"/>
      <c r="AF47" s="1"/>
      <c r="AG47" s="1"/>
      <c r="AH47" s="1"/>
      <c r="AI47" s="1"/>
      <c r="AJ47" s="1"/>
      <c r="AK47" s="1"/>
      <c r="AL47" s="1"/>
    </row>
    <row r="48" spans="3:38" ht="24.75" customHeight="1" x14ac:dyDescent="0.25">
      <c r="C48" s="12" t="s">
        <v>53</v>
      </c>
      <c r="D48" s="23">
        <f>IF(Informació!$D$24="No",Informació!$E$24/100*(M48+N48),(M48+N48))</f>
        <v>0</v>
      </c>
      <c r="E48" s="23" t="e">
        <f t="shared" si="6"/>
        <v>#DIV/0!</v>
      </c>
      <c r="F48" s="25" t="e">
        <f t="shared" si="7"/>
        <v>#DIV/0!</v>
      </c>
      <c r="G48" s="25">
        <f>VLOOKUP(Informació!$D$5,'Base de dades Municipis'!$B$2:$G$717,5,TRUE)</f>
        <v>4116701</v>
      </c>
      <c r="H48" s="25" t="e">
        <f t="shared" si="8"/>
        <v>#DIV/0!</v>
      </c>
      <c r="I48" s="35"/>
      <c r="J48" s="1"/>
      <c r="K48" s="37">
        <f t="shared" si="9"/>
        <v>10</v>
      </c>
      <c r="L48" s="37">
        <f>Informació!$D$9+Informació!$D$10+Informació!$D$11-Resultats!K48</f>
        <v>60</v>
      </c>
      <c r="M48" s="39">
        <f>D9/(Informació!$D$11+Informació!$D$10+Informació!$D$9)*L48</f>
        <v>0</v>
      </c>
      <c r="N48" s="37">
        <f t="shared" si="10"/>
        <v>0</v>
      </c>
      <c r="O48" s="37"/>
      <c r="P48" s="37"/>
      <c r="Q48" s="37"/>
      <c r="R48" s="37"/>
      <c r="S48" s="38"/>
      <c r="U48" s="1"/>
      <c r="V48" s="1"/>
      <c r="W48" s="1"/>
      <c r="X48" s="1"/>
      <c r="Y48" s="1"/>
      <c r="Z48" s="1"/>
      <c r="AA48" s="1"/>
      <c r="AB48" s="1"/>
      <c r="AC48" s="1"/>
      <c r="AD48" s="1"/>
      <c r="AE48" s="1"/>
      <c r="AF48" s="1"/>
      <c r="AG48" s="1"/>
      <c r="AH48" s="1"/>
      <c r="AI48" s="1"/>
      <c r="AJ48" s="1"/>
      <c r="AK48" s="1"/>
      <c r="AL48" s="1"/>
    </row>
    <row r="49" spans="3:38" ht="45" x14ac:dyDescent="0.25">
      <c r="C49" s="12" t="s">
        <v>54</v>
      </c>
      <c r="D49" s="23" t="e">
        <f>IF(Informació!$D$24="No",Informació!$E$24/100*(M49+N49),(M49+N49))</f>
        <v>#DIV/0!</v>
      </c>
      <c r="E49" s="23" t="e">
        <f t="shared" si="6"/>
        <v>#DIV/0!</v>
      </c>
      <c r="F49" s="25">
        <f t="shared" si="7"/>
        <v>0</v>
      </c>
      <c r="G49" s="25">
        <f>VLOOKUP(Informació!$D$5,'Base de dades Municipis'!$B$2:$G$717,5,TRUE)</f>
        <v>4116701</v>
      </c>
      <c r="H49" s="25" t="e">
        <f t="shared" si="8"/>
        <v>#DIV/0!</v>
      </c>
      <c r="I49" s="35"/>
      <c r="J49" s="1"/>
      <c r="K49" s="37">
        <f t="shared" si="9"/>
        <v>10</v>
      </c>
      <c r="L49" s="37">
        <f>Informació!$D$9+Informació!$D$10+Informació!$D$11-Resultats!K49</f>
        <v>60</v>
      </c>
      <c r="M49" s="39">
        <f>D10/(Informació!$D$11+Informació!$D$10+Informació!$D$9)*L49</f>
        <v>0</v>
      </c>
      <c r="N49" s="37" t="e">
        <f t="shared" si="10"/>
        <v>#DIV/0!</v>
      </c>
      <c r="O49" s="37"/>
      <c r="P49" s="37"/>
      <c r="Q49" s="37"/>
      <c r="R49" s="37"/>
      <c r="S49" s="38"/>
      <c r="U49" s="1"/>
      <c r="V49" s="1"/>
      <c r="W49" s="1"/>
      <c r="X49" s="1"/>
      <c r="Y49" s="1"/>
      <c r="Z49" s="1"/>
      <c r="AA49" s="1"/>
      <c r="AB49" s="1"/>
      <c r="AC49" s="1"/>
      <c r="AD49" s="1"/>
      <c r="AE49" s="1"/>
      <c r="AF49" s="1"/>
      <c r="AG49" s="1"/>
      <c r="AH49" s="1"/>
      <c r="AI49" s="1"/>
      <c r="AJ49" s="1"/>
      <c r="AK49" s="1"/>
      <c r="AL49" s="1"/>
    </row>
    <row r="50" spans="3:38" ht="45" x14ac:dyDescent="0.25">
      <c r="C50" s="12" t="s">
        <v>55</v>
      </c>
      <c r="D50" s="23" t="e">
        <f>IF(Informació!$D$24="No",Informació!$E$24/100*(M50+N50),(M50+N50))</f>
        <v>#DIV/0!</v>
      </c>
      <c r="E50" s="23" t="e">
        <f t="shared" si="6"/>
        <v>#DIV/0!</v>
      </c>
      <c r="F50" s="25" t="e">
        <f t="shared" si="7"/>
        <v>#DIV/0!</v>
      </c>
      <c r="G50" s="25">
        <f>VLOOKUP(Informació!$D$5,'Base de dades Municipis'!$B$2:$G$717,5,TRUE)</f>
        <v>4116701</v>
      </c>
      <c r="H50" s="25" t="e">
        <f t="shared" si="8"/>
        <v>#DIV/0!</v>
      </c>
      <c r="I50" s="35"/>
      <c r="J50" s="1"/>
      <c r="K50" s="37">
        <f t="shared" si="9"/>
        <v>10</v>
      </c>
      <c r="L50" s="37">
        <f>Informació!$D$9+Informació!$D$10+Informació!$D$11-Resultats!K50</f>
        <v>60</v>
      </c>
      <c r="M50" s="39">
        <f>D11/(Informació!$D$11+Informació!$D$10+Informació!$D$9)*L50</f>
        <v>0</v>
      </c>
      <c r="N50" s="37" t="e">
        <f t="shared" si="10"/>
        <v>#DIV/0!</v>
      </c>
      <c r="O50" s="37"/>
      <c r="P50" s="37"/>
      <c r="Q50" s="37"/>
      <c r="R50" s="37"/>
      <c r="S50" s="38"/>
      <c r="U50" s="1"/>
      <c r="V50" s="1"/>
      <c r="W50" s="1"/>
      <c r="X50" s="1"/>
      <c r="Y50" s="1"/>
      <c r="Z50" s="1"/>
      <c r="AA50" s="1"/>
      <c r="AB50" s="1"/>
      <c r="AC50" s="1"/>
      <c r="AD50" s="1"/>
      <c r="AE50" s="1"/>
      <c r="AF50" s="1"/>
      <c r="AG50" s="1"/>
      <c r="AH50" s="1"/>
      <c r="AI50" s="1"/>
      <c r="AJ50" s="1"/>
      <c r="AK50" s="1"/>
      <c r="AL50" s="1"/>
    </row>
    <row r="51" spans="3:38" ht="60" x14ac:dyDescent="0.25">
      <c r="C51" s="12" t="s">
        <v>56</v>
      </c>
      <c r="D51" s="23" t="e">
        <f>IF(Informació!$D$24="No",Informació!$E$24/100*(M51+N51),(M51+N51))</f>
        <v>#DIV/0!</v>
      </c>
      <c r="E51" s="23" t="e">
        <f t="shared" si="6"/>
        <v>#DIV/0!</v>
      </c>
      <c r="F51" s="25" t="e">
        <f t="shared" si="7"/>
        <v>#DIV/0!</v>
      </c>
      <c r="G51" s="25">
        <f>VLOOKUP(Informació!$D$5,'Base de dades Municipis'!$B$2:$G$717,5,TRUE)</f>
        <v>4116701</v>
      </c>
      <c r="H51" s="25" t="e">
        <f t="shared" si="8"/>
        <v>#DIV/0!</v>
      </c>
      <c r="I51" s="35"/>
      <c r="J51" s="1"/>
      <c r="K51" s="37">
        <f t="shared" si="9"/>
        <v>10</v>
      </c>
      <c r="L51" s="37">
        <f>Informació!$D$9+Informació!$D$10+Informació!$D$11-Resultats!K51</f>
        <v>60</v>
      </c>
      <c r="M51" s="39">
        <f>D12/(Informació!$D$11+Informació!$D$10+Informació!$D$9)*L51</f>
        <v>0</v>
      </c>
      <c r="N51" s="37" t="e">
        <f t="shared" si="10"/>
        <v>#DIV/0!</v>
      </c>
      <c r="O51" s="37"/>
      <c r="P51" s="37"/>
      <c r="Q51" s="37"/>
      <c r="R51" s="37"/>
      <c r="S51" s="38"/>
      <c r="U51" s="1"/>
      <c r="V51" s="1"/>
      <c r="W51" s="1"/>
      <c r="X51" s="1"/>
      <c r="Y51" s="1"/>
      <c r="Z51" s="1"/>
      <c r="AA51" s="1"/>
      <c r="AB51" s="1"/>
      <c r="AC51" s="1"/>
      <c r="AD51" s="1"/>
      <c r="AE51" s="1"/>
      <c r="AF51" s="1"/>
      <c r="AG51" s="1"/>
      <c r="AH51" s="1"/>
      <c r="AI51" s="1"/>
      <c r="AJ51" s="1"/>
      <c r="AK51" s="1"/>
      <c r="AL51" s="1"/>
    </row>
    <row r="52" spans="3:38" ht="45" x14ac:dyDescent="0.25">
      <c r="C52" s="12" t="s">
        <v>57</v>
      </c>
      <c r="D52" s="23" t="e">
        <f>IF(Informació!$D$24="No",Informació!$E$24/100*(M52+N52),(M52+N52))</f>
        <v>#DIV/0!</v>
      </c>
      <c r="E52" s="23" t="e">
        <f t="shared" si="6"/>
        <v>#DIV/0!</v>
      </c>
      <c r="F52" s="25">
        <f t="shared" si="7"/>
        <v>0</v>
      </c>
      <c r="G52" s="25">
        <f>VLOOKUP(Informació!$D$5,'Base de dades Municipis'!$B$2:$G$717,5,TRUE)</f>
        <v>4116701</v>
      </c>
      <c r="H52" s="25" t="e">
        <f t="shared" si="8"/>
        <v>#DIV/0!</v>
      </c>
      <c r="I52" s="35"/>
      <c r="J52" s="1"/>
      <c r="K52" s="37">
        <f t="shared" si="9"/>
        <v>10</v>
      </c>
      <c r="L52" s="37">
        <f>Informació!$D$9+Informació!$D$10+Informació!$D$11-Resultats!K52</f>
        <v>60</v>
      </c>
      <c r="M52" s="39">
        <f>D13/(Informació!$D$11+Informació!$D$10+Informació!$D$9)*L52</f>
        <v>0</v>
      </c>
      <c r="N52" s="37" t="e">
        <f t="shared" si="10"/>
        <v>#DIV/0!</v>
      </c>
      <c r="O52" s="37"/>
      <c r="P52" s="37"/>
      <c r="Q52" s="37"/>
      <c r="R52" s="37"/>
      <c r="S52" s="38"/>
      <c r="U52" s="1"/>
      <c r="V52" s="1"/>
      <c r="W52" s="1"/>
      <c r="X52" s="1"/>
      <c r="Y52" s="1"/>
      <c r="Z52" s="1"/>
      <c r="AA52" s="1"/>
      <c r="AB52" s="1"/>
      <c r="AC52" s="1"/>
      <c r="AD52" s="1"/>
      <c r="AE52" s="1"/>
      <c r="AF52" s="1"/>
      <c r="AG52" s="1"/>
      <c r="AH52" s="1"/>
      <c r="AI52" s="1"/>
      <c r="AJ52" s="1"/>
      <c r="AK52" s="1"/>
      <c r="AL52" s="1"/>
    </row>
    <row r="53" spans="3:38" ht="47.25" customHeight="1" x14ac:dyDescent="0.25">
      <c r="C53" s="12" t="s">
        <v>58</v>
      </c>
      <c r="D53" s="23" t="e">
        <f>IF(Informació!$D$24="No",Informació!$E$24/100*(M53+N53),(M53+N53))</f>
        <v>#DIV/0!</v>
      </c>
      <c r="E53" s="23" t="e">
        <f t="shared" si="6"/>
        <v>#DIV/0!</v>
      </c>
      <c r="F53" s="25" t="e">
        <f t="shared" si="7"/>
        <v>#DIV/0!</v>
      </c>
      <c r="G53" s="25">
        <f>VLOOKUP(Informació!$D$5,'Base de dades Municipis'!$B$2:$G$717,5,TRUE)</f>
        <v>4116701</v>
      </c>
      <c r="H53" s="25" t="e">
        <f t="shared" si="8"/>
        <v>#DIV/0!</v>
      </c>
      <c r="I53" s="35"/>
      <c r="J53" s="1"/>
      <c r="K53" s="37">
        <f t="shared" si="9"/>
        <v>10</v>
      </c>
      <c r="L53" s="37">
        <f>Informació!$D$9+Informació!$D$10+Informació!$D$11-Resultats!K53</f>
        <v>60</v>
      </c>
      <c r="M53" s="39">
        <f>D14/(Informació!$D$11+Informació!$D$10+Informació!$D$9)*L53</f>
        <v>0</v>
      </c>
      <c r="N53" s="37" t="e">
        <f t="shared" si="10"/>
        <v>#DIV/0!</v>
      </c>
      <c r="O53" s="37"/>
      <c r="P53" s="37"/>
      <c r="Q53" s="37"/>
      <c r="R53" s="37"/>
      <c r="S53" s="38"/>
      <c r="U53" s="1"/>
      <c r="V53" s="1"/>
      <c r="W53" s="1"/>
      <c r="X53" s="1"/>
      <c r="Y53" s="1"/>
      <c r="Z53" s="1"/>
      <c r="AA53" s="1"/>
      <c r="AB53" s="1"/>
      <c r="AC53" s="1"/>
      <c r="AD53" s="1"/>
      <c r="AE53" s="1"/>
      <c r="AF53" s="1"/>
      <c r="AG53" s="1"/>
      <c r="AH53" s="1"/>
      <c r="AI53" s="1"/>
      <c r="AJ53" s="1"/>
      <c r="AK53" s="1"/>
      <c r="AL53" s="1"/>
    </row>
    <row r="54" spans="3:38" x14ac:dyDescent="0.25">
      <c r="C54" s="1"/>
      <c r="D54" s="1"/>
      <c r="E54" s="1"/>
      <c r="F54" s="1"/>
      <c r="G54" s="35"/>
      <c r="H54" s="35"/>
      <c r="I54" s="35"/>
      <c r="J54" s="1"/>
      <c r="K54" s="37"/>
      <c r="L54" s="37"/>
      <c r="M54" s="37"/>
      <c r="N54" s="37"/>
      <c r="O54" s="37"/>
      <c r="P54" s="37"/>
      <c r="Q54" s="37"/>
      <c r="R54" s="37"/>
      <c r="S54" s="38"/>
      <c r="U54" s="1"/>
      <c r="V54" s="1"/>
      <c r="W54" s="1"/>
      <c r="X54" s="1"/>
      <c r="Y54" s="1"/>
      <c r="Z54" s="1"/>
      <c r="AA54" s="1"/>
      <c r="AB54" s="1"/>
      <c r="AC54" s="1"/>
      <c r="AD54" s="1"/>
      <c r="AE54" s="1"/>
      <c r="AF54" s="1"/>
      <c r="AG54" s="1"/>
      <c r="AH54" s="1"/>
      <c r="AI54" s="1"/>
      <c r="AJ54" s="1"/>
      <c r="AK54" s="1"/>
      <c r="AL54" s="1"/>
    </row>
    <row r="55" spans="3:38" x14ac:dyDescent="0.25">
      <c r="C55" s="1"/>
      <c r="D55" s="1"/>
      <c r="E55" s="1"/>
      <c r="F55" s="1"/>
      <c r="J55" s="1"/>
      <c r="K55" s="37"/>
      <c r="L55" s="37"/>
      <c r="M55" s="37"/>
      <c r="N55" s="37"/>
      <c r="O55" s="37"/>
      <c r="P55" s="37"/>
      <c r="Q55" s="37"/>
      <c r="R55" s="37"/>
      <c r="S55" s="38"/>
      <c r="U55" s="1"/>
      <c r="V55" s="1"/>
      <c r="W55" s="1"/>
      <c r="X55" s="1"/>
      <c r="Y55" s="1"/>
      <c r="Z55" s="1"/>
      <c r="AA55" s="1"/>
      <c r="AB55" s="1"/>
      <c r="AC55" s="1"/>
      <c r="AD55" s="1"/>
      <c r="AE55" s="1"/>
      <c r="AF55" s="1"/>
      <c r="AG55" s="1"/>
      <c r="AH55" s="1"/>
      <c r="AI55" s="1"/>
      <c r="AJ55" s="1"/>
      <c r="AK55" s="1"/>
      <c r="AL55" s="1"/>
    </row>
    <row r="56" spans="3:38" x14ac:dyDescent="0.25">
      <c r="C56" s="1"/>
      <c r="D56" s="1"/>
      <c r="E56" s="1"/>
      <c r="F56" s="1"/>
      <c r="J56" s="1"/>
      <c r="K56" s="37"/>
      <c r="L56" s="37"/>
      <c r="M56" s="37"/>
      <c r="N56" s="37"/>
      <c r="O56" s="37"/>
      <c r="P56" s="37"/>
      <c r="Q56" s="37"/>
      <c r="R56" s="37"/>
      <c r="S56" s="38"/>
      <c r="U56" s="1"/>
      <c r="V56" s="1"/>
      <c r="W56" s="1"/>
      <c r="X56" s="1"/>
      <c r="Y56" s="1"/>
      <c r="Z56" s="1"/>
      <c r="AA56" s="1"/>
      <c r="AB56" s="1"/>
      <c r="AC56" s="1"/>
      <c r="AD56" s="1"/>
      <c r="AE56" s="1"/>
      <c r="AF56" s="1"/>
      <c r="AG56" s="1"/>
      <c r="AH56" s="1"/>
      <c r="AI56" s="1"/>
      <c r="AJ56" s="1"/>
      <c r="AK56" s="1"/>
      <c r="AL56" s="1"/>
    </row>
    <row r="57" spans="3:38" x14ac:dyDescent="0.25">
      <c r="C57" s="1"/>
      <c r="D57" s="1"/>
      <c r="E57" s="1"/>
      <c r="F57" s="1"/>
      <c r="J57" s="1"/>
      <c r="K57" s="37"/>
      <c r="L57" s="37"/>
      <c r="M57" s="37"/>
      <c r="N57" s="37"/>
      <c r="O57" s="37"/>
      <c r="P57" s="37"/>
      <c r="Q57" s="37"/>
      <c r="R57" s="37"/>
      <c r="S57" s="38"/>
      <c r="U57" s="1"/>
      <c r="V57" s="1"/>
      <c r="W57" s="1"/>
      <c r="X57" s="1"/>
      <c r="Y57" s="1"/>
      <c r="Z57" s="1"/>
      <c r="AA57" s="1"/>
      <c r="AB57" s="1"/>
      <c r="AC57" s="1"/>
      <c r="AD57" s="1"/>
      <c r="AE57" s="1"/>
      <c r="AF57" s="1"/>
      <c r="AG57" s="1"/>
      <c r="AH57" s="1"/>
      <c r="AI57" s="1"/>
      <c r="AJ57" s="1"/>
      <c r="AK57" s="1"/>
      <c r="AL57" s="1"/>
    </row>
    <row r="58" spans="3:38" x14ac:dyDescent="0.25">
      <c r="C58" s="1"/>
      <c r="D58" s="1"/>
      <c r="E58" s="1"/>
      <c r="F58" s="1"/>
      <c r="J58" s="1"/>
      <c r="K58" s="37"/>
      <c r="L58" s="37"/>
      <c r="M58" s="37"/>
      <c r="N58" s="37"/>
      <c r="O58" s="37"/>
      <c r="P58" s="37"/>
      <c r="Q58" s="37"/>
      <c r="R58" s="37"/>
      <c r="S58" s="38"/>
      <c r="U58" s="1"/>
      <c r="V58" s="1"/>
      <c r="W58" s="1"/>
      <c r="X58" s="1"/>
      <c r="Y58" s="1"/>
      <c r="Z58" s="1"/>
      <c r="AA58" s="1"/>
      <c r="AB58" s="1"/>
      <c r="AC58" s="1"/>
      <c r="AD58" s="1"/>
      <c r="AE58" s="1"/>
      <c r="AF58" s="1"/>
      <c r="AG58" s="1"/>
      <c r="AH58" s="1"/>
      <c r="AI58" s="1"/>
      <c r="AJ58" s="1"/>
      <c r="AK58" s="1"/>
      <c r="AL58" s="1"/>
    </row>
    <row r="59" spans="3:38" x14ac:dyDescent="0.25">
      <c r="C59" s="1"/>
      <c r="D59" s="1"/>
      <c r="E59" s="1"/>
      <c r="F59" s="1"/>
      <c r="J59" s="1"/>
      <c r="K59" s="37"/>
      <c r="L59" s="37"/>
      <c r="M59" s="37"/>
      <c r="N59" s="37"/>
      <c r="O59" s="37"/>
      <c r="P59" s="37"/>
      <c r="Q59" s="37"/>
      <c r="R59" s="37"/>
      <c r="S59" s="38"/>
      <c r="U59" s="1"/>
      <c r="V59" s="1"/>
      <c r="W59" s="1"/>
      <c r="X59" s="1"/>
      <c r="Y59" s="1"/>
      <c r="Z59" s="1"/>
      <c r="AA59" s="1"/>
      <c r="AB59" s="1"/>
      <c r="AC59" s="1"/>
      <c r="AD59" s="1"/>
      <c r="AE59" s="1"/>
      <c r="AF59" s="1"/>
      <c r="AG59" s="1"/>
      <c r="AH59" s="1"/>
      <c r="AI59" s="1"/>
      <c r="AJ59" s="1"/>
      <c r="AK59" s="1"/>
      <c r="AL59" s="1"/>
    </row>
    <row r="60" spans="3:38" x14ac:dyDescent="0.25">
      <c r="C60" s="1"/>
      <c r="D60" s="1"/>
      <c r="E60" s="1"/>
      <c r="F60" s="1"/>
      <c r="J60" s="1"/>
      <c r="K60" s="37"/>
      <c r="L60" s="37"/>
      <c r="M60" s="37"/>
      <c r="N60" s="37"/>
      <c r="O60" s="37"/>
      <c r="P60" s="37"/>
      <c r="Q60" s="37"/>
      <c r="R60" s="37"/>
      <c r="S60" s="38"/>
      <c r="U60" s="1"/>
      <c r="V60" s="1"/>
      <c r="W60" s="1"/>
      <c r="X60" s="1"/>
      <c r="Y60" s="1"/>
      <c r="Z60" s="1"/>
      <c r="AA60" s="1"/>
      <c r="AB60" s="1"/>
      <c r="AC60" s="1"/>
      <c r="AD60" s="1"/>
      <c r="AE60" s="1"/>
      <c r="AF60" s="1"/>
      <c r="AG60" s="1"/>
      <c r="AH60" s="1"/>
      <c r="AI60" s="1"/>
      <c r="AJ60" s="1"/>
      <c r="AK60" s="1"/>
      <c r="AL60" s="1"/>
    </row>
    <row r="61" spans="3:38" x14ac:dyDescent="0.25">
      <c r="C61" s="1"/>
      <c r="D61" s="1"/>
      <c r="E61" s="1"/>
      <c r="F61" s="1"/>
      <c r="J61" s="1"/>
      <c r="K61" s="1"/>
      <c r="L61" s="1"/>
      <c r="M61" s="1"/>
      <c r="N61" s="1"/>
      <c r="O61" s="1"/>
      <c r="P61" s="1"/>
      <c r="Q61" s="1"/>
      <c r="R61" s="1"/>
      <c r="U61" s="1"/>
      <c r="V61" s="1"/>
      <c r="W61" s="1"/>
      <c r="X61" s="1"/>
      <c r="Y61" s="1"/>
      <c r="Z61" s="1"/>
      <c r="AA61" s="1"/>
      <c r="AB61" s="1"/>
      <c r="AC61" s="1"/>
      <c r="AD61" s="1"/>
      <c r="AE61" s="1"/>
      <c r="AF61" s="1"/>
      <c r="AG61" s="1"/>
      <c r="AH61" s="1"/>
      <c r="AI61" s="1"/>
      <c r="AJ61" s="1"/>
      <c r="AK61" s="1"/>
      <c r="AL61" s="1"/>
    </row>
    <row r="62" spans="3:38" x14ac:dyDescent="0.25">
      <c r="C62" s="1"/>
      <c r="D62" s="1"/>
      <c r="E62" s="1"/>
      <c r="F62" s="1"/>
      <c r="J62" s="1"/>
      <c r="K62" s="1"/>
      <c r="L62" s="1"/>
      <c r="M62" s="1"/>
      <c r="N62" s="1"/>
      <c r="O62" s="1"/>
      <c r="P62" s="1"/>
      <c r="Q62" s="1"/>
      <c r="R62" s="1"/>
      <c r="U62" s="1"/>
      <c r="V62" s="1"/>
      <c r="W62" s="1"/>
      <c r="X62" s="1"/>
      <c r="Y62" s="1"/>
      <c r="Z62" s="1"/>
      <c r="AA62" s="1"/>
      <c r="AB62" s="1"/>
      <c r="AC62" s="1"/>
      <c r="AD62" s="1"/>
      <c r="AE62" s="1"/>
      <c r="AF62" s="1"/>
      <c r="AG62" s="1"/>
      <c r="AH62" s="1"/>
      <c r="AI62" s="1"/>
      <c r="AJ62" s="1"/>
      <c r="AK62" s="1"/>
      <c r="AL62" s="1"/>
    </row>
    <row r="63" spans="3:38" x14ac:dyDescent="0.25">
      <c r="C63" s="1"/>
      <c r="D63" s="1"/>
      <c r="E63" s="1"/>
      <c r="F63" s="1"/>
      <c r="J63" s="1"/>
      <c r="K63" s="1"/>
      <c r="L63" s="1"/>
      <c r="M63" s="1"/>
      <c r="N63" s="1"/>
      <c r="O63" s="1"/>
      <c r="P63" s="1"/>
      <c r="Q63" s="1"/>
      <c r="R63" s="1"/>
      <c r="U63" s="1"/>
      <c r="V63" s="1"/>
      <c r="W63" s="1"/>
      <c r="X63" s="1"/>
      <c r="Y63" s="1"/>
      <c r="Z63" s="1"/>
      <c r="AA63" s="1"/>
      <c r="AB63" s="1"/>
      <c r="AC63" s="1"/>
      <c r="AD63" s="1"/>
      <c r="AE63" s="1"/>
      <c r="AF63" s="1"/>
      <c r="AG63" s="1"/>
      <c r="AH63" s="1"/>
      <c r="AI63" s="1"/>
      <c r="AJ63" s="1"/>
      <c r="AK63" s="1"/>
      <c r="AL63" s="1"/>
    </row>
    <row r="64" spans="3:38" x14ac:dyDescent="0.25">
      <c r="C64" s="1"/>
      <c r="D64" s="1"/>
      <c r="E64" s="1"/>
      <c r="F64" s="1"/>
      <c r="J64" s="1"/>
      <c r="K64" s="1"/>
      <c r="L64" s="1"/>
      <c r="M64" s="1"/>
      <c r="N64" s="1"/>
      <c r="O64" s="1"/>
      <c r="P64" s="1"/>
      <c r="Q64" s="1"/>
      <c r="R64" s="1"/>
      <c r="U64" s="1"/>
      <c r="V64" s="1"/>
      <c r="W64" s="1"/>
      <c r="X64" s="1"/>
      <c r="Y64" s="1"/>
      <c r="Z64" s="1"/>
      <c r="AA64" s="1"/>
      <c r="AB64" s="1"/>
      <c r="AC64" s="1"/>
      <c r="AD64" s="1"/>
      <c r="AE64" s="1"/>
      <c r="AF64" s="1"/>
      <c r="AG64" s="1"/>
      <c r="AH64" s="1"/>
      <c r="AI64" s="1"/>
      <c r="AJ64" s="1"/>
      <c r="AK64" s="1"/>
      <c r="AL64" s="1"/>
    </row>
    <row r="65" spans="3:38" x14ac:dyDescent="0.25">
      <c r="C65" s="1"/>
      <c r="D65" s="1"/>
      <c r="E65" s="1"/>
      <c r="F65" s="1"/>
      <c r="J65" s="1"/>
      <c r="K65" s="1"/>
      <c r="L65" s="1"/>
      <c r="M65" s="1"/>
      <c r="N65" s="1"/>
      <c r="O65" s="1"/>
      <c r="P65" s="1"/>
      <c r="Q65" s="1"/>
      <c r="R65" s="1"/>
      <c r="U65" s="1"/>
      <c r="V65" s="1"/>
      <c r="W65" s="1"/>
      <c r="X65" s="1"/>
      <c r="Y65" s="1"/>
      <c r="Z65" s="1"/>
      <c r="AA65" s="1"/>
      <c r="AB65" s="1"/>
      <c r="AC65" s="1"/>
      <c r="AD65" s="1"/>
      <c r="AE65" s="1"/>
      <c r="AF65" s="1"/>
      <c r="AG65" s="1"/>
      <c r="AH65" s="1"/>
      <c r="AI65" s="1"/>
      <c r="AJ65" s="1"/>
      <c r="AK65" s="1"/>
      <c r="AL65" s="1"/>
    </row>
    <row r="66" spans="3:38" x14ac:dyDescent="0.25">
      <c r="C66" s="1"/>
      <c r="D66" s="1"/>
      <c r="E66" s="1"/>
      <c r="F66" s="1"/>
      <c r="J66" s="1"/>
      <c r="K66" s="1"/>
      <c r="L66" s="1"/>
      <c r="M66" s="1"/>
      <c r="N66" s="1"/>
      <c r="O66" s="1"/>
      <c r="P66" s="1"/>
      <c r="Q66" s="1"/>
      <c r="R66" s="1"/>
      <c r="U66" s="1"/>
      <c r="V66" s="1"/>
      <c r="W66" s="1"/>
      <c r="X66" s="1"/>
      <c r="Y66" s="1"/>
      <c r="Z66" s="1"/>
      <c r="AA66" s="1"/>
      <c r="AB66" s="1"/>
      <c r="AC66" s="1"/>
      <c r="AD66" s="1"/>
      <c r="AE66" s="1"/>
      <c r="AF66" s="1"/>
      <c r="AG66" s="1"/>
      <c r="AH66" s="1"/>
      <c r="AI66" s="1"/>
      <c r="AJ66" s="1"/>
      <c r="AK66" s="1"/>
      <c r="AL66" s="1"/>
    </row>
    <row r="67" spans="3:38" x14ac:dyDescent="0.25">
      <c r="C67" s="1"/>
      <c r="D67" s="1"/>
      <c r="E67" s="1"/>
      <c r="F67" s="1"/>
      <c r="J67" s="1"/>
      <c r="K67" s="1"/>
      <c r="L67" s="1"/>
      <c r="M67" s="1"/>
      <c r="N67" s="1"/>
      <c r="O67" s="1"/>
      <c r="P67" s="1"/>
      <c r="Q67" s="1"/>
      <c r="R67" s="1"/>
      <c r="U67" s="1"/>
      <c r="V67" s="1"/>
      <c r="W67" s="1"/>
      <c r="X67" s="1"/>
      <c r="Y67" s="1"/>
      <c r="Z67" s="1"/>
      <c r="AA67" s="1"/>
      <c r="AB67" s="1"/>
      <c r="AC67" s="1"/>
      <c r="AD67" s="1"/>
      <c r="AE67" s="1"/>
      <c r="AF67" s="1"/>
      <c r="AG67" s="1"/>
      <c r="AH67" s="1"/>
      <c r="AI67" s="1"/>
      <c r="AJ67" s="1"/>
      <c r="AK67" s="1"/>
      <c r="AL67" s="1"/>
    </row>
    <row r="68" spans="3:38" x14ac:dyDescent="0.25">
      <c r="C68" s="1"/>
      <c r="D68" s="1"/>
      <c r="E68" s="1"/>
      <c r="F68" s="1"/>
      <c r="J68" s="1"/>
      <c r="K68" s="1"/>
      <c r="L68" s="1"/>
      <c r="M68" s="1"/>
      <c r="N68" s="1"/>
      <c r="O68" s="1"/>
      <c r="P68" s="1"/>
      <c r="Q68" s="1"/>
      <c r="R68" s="1"/>
      <c r="U68" s="1"/>
      <c r="V68" s="1"/>
      <c r="W68" s="1"/>
      <c r="X68" s="1"/>
      <c r="Y68" s="1"/>
      <c r="Z68" s="1"/>
      <c r="AA68" s="1"/>
      <c r="AB68" s="1"/>
      <c r="AC68" s="1"/>
      <c r="AD68" s="1"/>
      <c r="AE68" s="1"/>
      <c r="AF68" s="1"/>
      <c r="AG68" s="1"/>
      <c r="AH68" s="1"/>
      <c r="AI68" s="1"/>
      <c r="AJ68" s="1"/>
      <c r="AK68" s="1"/>
      <c r="AL68" s="1"/>
    </row>
    <row r="69" spans="3:38" x14ac:dyDescent="0.25">
      <c r="K69" s="1"/>
      <c r="L69" s="1"/>
      <c r="M69" s="1"/>
      <c r="N69" s="1"/>
      <c r="O69" s="1"/>
      <c r="P69" s="1"/>
      <c r="Q69" s="1"/>
      <c r="R69" s="1"/>
    </row>
  </sheetData>
  <sheetProtection sheet="1" objects="1" scenarios="1"/>
  <mergeCells count="4">
    <mergeCell ref="C3:F3"/>
    <mergeCell ref="C16:F16"/>
    <mergeCell ref="C29:F29"/>
    <mergeCell ref="C42:F42"/>
  </mergeCell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9" id="{03FB7AD9-E50E-4532-B461-57D289B95A12}">
            <xm:f>Informació!$D$17="No"</xm:f>
            <x14:dxf>
              <font>
                <color theme="0" tint="-0.34998626667073579"/>
              </font>
              <fill>
                <patternFill>
                  <bgColor theme="0" tint="-0.34998626667073579"/>
                </patternFill>
              </fill>
            </x14:dxf>
          </x14:cfRule>
          <xm:sqref>D31:F40</xm:sqref>
        </x14:conditionalFormatting>
        <x14:conditionalFormatting xmlns:xm="http://schemas.microsoft.com/office/excel/2006/main">
          <x14:cfRule type="expression" priority="186" id="{E96AC02F-E3E1-434E-81D6-62FF766153A6}">
            <xm:f>Informació!$D$23="No"</xm:f>
            <x14:dxf>
              <font>
                <color theme="0" tint="-0.34998626667073579"/>
              </font>
              <fill>
                <patternFill>
                  <bgColor theme="0" tint="-0.34998626667073579"/>
                </patternFill>
              </fill>
            </x14:dxf>
          </x14:cfRule>
          <xm:sqref>D10:F14</xm:sqref>
        </x14:conditionalFormatting>
        <x14:conditionalFormatting xmlns:xm="http://schemas.microsoft.com/office/excel/2006/main">
          <x14:cfRule type="expression" priority="199" id="{B409F6BE-D18F-4B34-994E-D3B6E110E217}">
            <xm:f>AND(Informació!$D$21="No",Informació!$D$22="No")</xm:f>
            <x14:dxf>
              <font>
                <color theme="0" tint="-0.34998626667073579"/>
              </font>
              <fill>
                <patternFill>
                  <bgColor theme="0" tint="-0.34998626667073579"/>
                </patternFill>
              </fill>
            </x14:dxf>
          </x14:cfRule>
          <xm:sqref>D6 F6 F19 D53:F53 D14:H14 D11:H11 D27:H27 D24:H24 D50:H50</xm:sqref>
        </x14:conditionalFormatting>
        <x14:conditionalFormatting xmlns:xm="http://schemas.microsoft.com/office/excel/2006/main">
          <x14:cfRule type="expression" priority="187" id="{46A0BB31-6A1A-4CA0-A1B6-29B391075CD3}">
            <xm:f>AND(Informació!$D$21="No",Informació!$D$22="No")</xm:f>
            <x14:dxf>
              <font>
                <color theme="0" tint="-0.34998626667073579"/>
              </font>
              <fill>
                <patternFill>
                  <bgColor theme="0" tint="-0.34998626667073579"/>
                </patternFill>
              </fill>
            </x14:dxf>
          </x14:cfRule>
          <xm:sqref>D9:F9</xm:sqref>
        </x14:conditionalFormatting>
        <x14:conditionalFormatting xmlns:xm="http://schemas.microsoft.com/office/excel/2006/main">
          <x14:cfRule type="expression" priority="198" id="{61C16086-1523-4BC3-BFDE-4F9D77512E23}">
            <xm:f>Informació!$D$18="No"</xm:f>
            <x14:dxf>
              <font>
                <color theme="0" tint="-0.34998626667073579"/>
              </font>
              <fill>
                <patternFill>
                  <bgColor theme="0" tint="-0.34998626667073579"/>
                </patternFill>
              </fill>
            </x14:dxf>
          </x14:cfRule>
          <xm:sqref>D5:F5 D23:F23 D19:D27 D49:F49 D10:H10 D8:H8 D21:H21 D47:H47</xm:sqref>
        </x14:conditionalFormatting>
        <x14:conditionalFormatting xmlns:xm="http://schemas.microsoft.com/office/excel/2006/main">
          <x14:cfRule type="expression" priority="193" id="{EF5B90D5-5EBC-46F7-A9F1-D1F512EEAB70}">
            <xm:f>OR(AND(Informació!$D$21="No",Informació!$D$22="No"),Informació!$D$18="No")</xm:f>
            <x14:dxf>
              <font>
                <color theme="0" tint="-0.34998626667073579"/>
              </font>
              <fill>
                <patternFill>
                  <bgColor theme="0" tint="-0.34998626667073579"/>
                </patternFill>
              </fill>
            </x14:dxf>
          </x14:cfRule>
          <xm:sqref>D7 F7 F20 D12:H12 D25:H25</xm:sqref>
        </x14:conditionalFormatting>
        <x14:conditionalFormatting xmlns:xm="http://schemas.microsoft.com/office/excel/2006/main">
          <x14:cfRule type="expression" priority="196" id="{14D81B08-6E84-48B2-92FE-DCA5E1543E02}">
            <xm:f>Informació!$D$20="No"</xm:f>
            <x14:dxf>
              <font>
                <color theme="0" tint="-0.34998626667073579"/>
              </font>
              <fill>
                <patternFill>
                  <bgColor theme="0" tint="-0.34998626667073579"/>
                </patternFill>
              </fill>
            </x14:dxf>
          </x14:cfRule>
          <xm:sqref>D8 F8 F21 D52:F53 D13:H14 D26:H27</xm:sqref>
        </x14:conditionalFormatting>
        <x14:conditionalFormatting xmlns:xm="http://schemas.microsoft.com/office/excel/2006/main">
          <x14:cfRule type="expression" priority="192" id="{CA429E57-7C97-4836-97B4-ABFF8AE68841}">
            <xm:f>AND(Informació!$D$21="No",Informació!$D$22="No")</xm:f>
            <x14:dxf>
              <font>
                <color theme="0" tint="-0.34998626667073579"/>
              </font>
              <fill>
                <patternFill>
                  <bgColor theme="0" tint="-0.34998626667073579"/>
                </patternFill>
              </fill>
            </x14:dxf>
          </x14:cfRule>
          <xm:sqref>E6</xm:sqref>
        </x14:conditionalFormatting>
        <x14:conditionalFormatting xmlns:xm="http://schemas.microsoft.com/office/excel/2006/main">
          <x14:cfRule type="expression" priority="184" id="{4A29A668-2E0E-4532-9783-118BB36DCF26}">
            <xm:f>OR(AND(Informació!$D$21="No",Informació!$D$22="No"),Informació!$D$18="No")</xm:f>
            <x14:dxf>
              <font>
                <color theme="0" tint="-0.34998626667073579"/>
              </font>
              <fill>
                <patternFill>
                  <bgColor theme="0" tint="-0.34998626667073579"/>
                </patternFill>
              </fill>
            </x14:dxf>
          </x14:cfRule>
          <xm:sqref>E7</xm:sqref>
        </x14:conditionalFormatting>
        <x14:conditionalFormatting xmlns:xm="http://schemas.microsoft.com/office/excel/2006/main">
          <x14:cfRule type="expression" priority="191" id="{D7176AD8-25E0-42B2-8B3C-A9153D1EE23C}">
            <xm:f>Informació!$D$20="No"</xm:f>
            <x14:dxf>
              <font>
                <color theme="0" tint="-0.34998626667073579"/>
              </font>
              <fill>
                <patternFill>
                  <bgColor theme="0" tint="-0.34998626667073579"/>
                </patternFill>
              </fill>
            </x14:dxf>
          </x14:cfRule>
          <xm:sqref>E8</xm:sqref>
        </x14:conditionalFormatting>
        <x14:conditionalFormatting xmlns:xm="http://schemas.microsoft.com/office/excel/2006/main">
          <x14:cfRule type="expression" priority="189" id="{82BE827D-16E7-45F7-9B6A-3BF317E5707A}">
            <xm:f>Informació!$D$23="No"</xm:f>
            <x14:dxf>
              <font>
                <color theme="0" tint="-0.34998626667073579"/>
              </font>
              <fill>
                <patternFill>
                  <bgColor theme="0" tint="-0.34998626667073579"/>
                </patternFill>
              </fill>
            </x14:dxf>
          </x14:cfRule>
          <xm:sqref>E11</xm:sqref>
        </x14:conditionalFormatting>
        <x14:conditionalFormatting xmlns:xm="http://schemas.microsoft.com/office/excel/2006/main">
          <x14:cfRule type="expression" priority="188" id="{A32737DF-0C6A-42B6-AAFD-1C339E35FA38}">
            <xm:f>Informació!$D$23="No"</xm:f>
            <x14:dxf>
              <font>
                <color theme="0" tint="-0.34998626667073579"/>
              </font>
              <fill>
                <patternFill>
                  <bgColor theme="0" tint="-0.34998626667073579"/>
                </patternFill>
              </fill>
            </x14:dxf>
          </x14:cfRule>
          <xm:sqref>E12</xm:sqref>
        </x14:conditionalFormatting>
        <x14:conditionalFormatting xmlns:xm="http://schemas.microsoft.com/office/excel/2006/main">
          <x14:cfRule type="expression" priority="185" id="{4655921B-E92A-424A-9C49-7C8BA429113C}">
            <xm:f>Informació!$D$23="No"</xm:f>
            <x14:dxf>
              <font>
                <color theme="0" tint="-0.34998626667073579"/>
              </font>
              <fill>
                <patternFill>
                  <bgColor theme="0" tint="-0.34998626667073579"/>
                </patternFill>
              </fill>
            </x14:dxf>
          </x14:cfRule>
          <xm:sqref>E13</xm:sqref>
        </x14:conditionalFormatting>
        <x14:conditionalFormatting xmlns:xm="http://schemas.microsoft.com/office/excel/2006/main">
          <x14:cfRule type="expression" priority="183" id="{B285EAD3-31A2-4FFE-B033-99C7FF7C4F2A}">
            <xm:f>Informació!$D$23="No"</xm:f>
            <x14:dxf>
              <font>
                <color theme="0" tint="-0.34998626667073579"/>
              </font>
              <fill>
                <patternFill>
                  <bgColor theme="0" tint="-0.34998626667073579"/>
                </patternFill>
              </fill>
            </x14:dxf>
          </x14:cfRule>
          <xm:sqref>E14</xm:sqref>
        </x14:conditionalFormatting>
        <x14:conditionalFormatting xmlns:xm="http://schemas.microsoft.com/office/excel/2006/main">
          <x14:cfRule type="expression" priority="202" id="{615E3AFD-989F-401D-A367-C11446702E2A}">
            <xm:f>Informació!$D$18="No"</xm:f>
            <x14:dxf>
              <font>
                <color theme="0" tint="-0.34998626667073579"/>
              </font>
              <fill>
                <patternFill>
                  <bgColor theme="0" tint="-0.34998626667073579"/>
                </patternFill>
              </fill>
            </x14:dxf>
          </x14:cfRule>
          <xm:sqref>D13:F13</xm:sqref>
        </x14:conditionalFormatting>
        <x14:conditionalFormatting xmlns:xm="http://schemas.microsoft.com/office/excel/2006/main">
          <x14:cfRule type="expression" priority="201" id="{172F0914-654E-4B4B-8CF8-AF24A8BEB691}">
            <xm:f>Informació!$D$19="No"</xm:f>
            <x14:dxf>
              <font>
                <color theme="0" tint="-0.34998626667073579"/>
              </font>
              <fill>
                <patternFill>
                  <bgColor theme="0" tint="-0.34998626667073579"/>
                </patternFill>
              </fill>
            </x14:dxf>
          </x14:cfRule>
          <xm:sqref>D5:F7 D23:F25 D19:D27 D44:F46 D10:H12</xm:sqref>
        </x14:conditionalFormatting>
        <x14:conditionalFormatting xmlns:xm="http://schemas.microsoft.com/office/excel/2006/main">
          <x14:cfRule type="expression" priority="200" id="{710803F1-2564-48AF-B762-0A1DDB473DB2}">
            <xm:f>Informació!$D$20="No"</xm:f>
            <x14:dxf>
              <font>
                <color theme="0" tint="-0.34998626667073579"/>
              </font>
              <fill>
                <patternFill>
                  <bgColor theme="0" tint="-0.34998626667073579"/>
                </patternFill>
              </fill>
            </x14:dxf>
          </x14:cfRule>
          <xm:sqref>D8:F9</xm:sqref>
        </x14:conditionalFormatting>
        <x14:conditionalFormatting xmlns:xm="http://schemas.microsoft.com/office/excel/2006/main">
          <x14:cfRule type="expression" priority="144" id="{973B30A2-A92E-4132-AAFE-0EAE6FBFE7E4}">
            <xm:f>Informació!$D$23="No"</xm:f>
            <x14:dxf>
              <font>
                <color theme="0" tint="-0.34998626667073579"/>
              </font>
              <fill>
                <patternFill>
                  <bgColor theme="0" tint="-0.34998626667073579"/>
                </patternFill>
              </fill>
            </x14:dxf>
          </x14:cfRule>
          <xm:sqref>E49:E53</xm:sqref>
        </x14:conditionalFormatting>
        <x14:conditionalFormatting xmlns:xm="http://schemas.microsoft.com/office/excel/2006/main">
          <x14:cfRule type="expression" priority="145" id="{7950259B-EE56-48B9-B2B0-881AEAA71B7E}">
            <xm:f>AND(Informació!$D$21="No",Informació!$D$22="No")</xm:f>
            <x14:dxf>
              <font>
                <color theme="0" tint="-0.34998626667073579"/>
              </font>
              <fill>
                <patternFill>
                  <bgColor theme="0" tint="-0.34998626667073579"/>
                </patternFill>
              </fill>
            </x14:dxf>
          </x14:cfRule>
          <xm:sqref>E48</xm:sqref>
        </x14:conditionalFormatting>
        <x14:conditionalFormatting xmlns:xm="http://schemas.microsoft.com/office/excel/2006/main">
          <x14:cfRule type="expression" priority="152" id="{DE529C56-C2E7-4406-8C4A-FEFD9276FD6C}">
            <xm:f>Informació!$D$18="No"</xm:f>
            <x14:dxf>
              <font>
                <color theme="0" tint="-0.34998626667073579"/>
              </font>
              <fill>
                <patternFill>
                  <bgColor theme="0" tint="-0.34998626667073579"/>
                </patternFill>
              </fill>
            </x14:dxf>
          </x14:cfRule>
          <xm:sqref>E44</xm:sqref>
        </x14:conditionalFormatting>
        <x14:conditionalFormatting xmlns:xm="http://schemas.microsoft.com/office/excel/2006/main">
          <x14:cfRule type="expression" priority="150" id="{3E5F8F9C-FD35-4E66-B79E-0BD6F739B944}">
            <xm:f>OR(AND(Informació!$D$21="No",Informació!$D$22="No"),Informació!$D$18="No")</xm:f>
            <x14:dxf>
              <font>
                <color theme="0" tint="-0.34998626667073579"/>
              </font>
              <fill>
                <patternFill>
                  <bgColor theme="0" tint="-0.34998626667073579"/>
                </patternFill>
              </fill>
            </x14:dxf>
          </x14:cfRule>
          <xm:sqref>E51</xm:sqref>
        </x14:conditionalFormatting>
        <x14:conditionalFormatting xmlns:xm="http://schemas.microsoft.com/office/excel/2006/main">
          <x14:cfRule type="expression" priority="149" id="{E10CEE6D-E515-4BE2-9E38-15438B42D441}">
            <xm:f>AND(Informació!$D$21="No",Informació!$D$22="No")</xm:f>
            <x14:dxf>
              <font>
                <color theme="0" tint="-0.34998626667073579"/>
              </font>
              <fill>
                <patternFill>
                  <bgColor theme="0" tint="-0.34998626667073579"/>
                </patternFill>
              </fill>
            </x14:dxf>
          </x14:cfRule>
          <xm:sqref>E45</xm:sqref>
        </x14:conditionalFormatting>
        <x14:conditionalFormatting xmlns:xm="http://schemas.microsoft.com/office/excel/2006/main">
          <x14:cfRule type="expression" priority="142" id="{2D1D88F9-3E50-4921-8562-632EDF8B74CE}">
            <xm:f>OR(AND(Informació!$D$21="No",Informació!$D$22="No"),Informació!$D$18="No")</xm:f>
            <x14:dxf>
              <font>
                <color theme="0" tint="-0.34998626667073579"/>
              </font>
              <fill>
                <patternFill>
                  <bgColor theme="0" tint="-0.34998626667073579"/>
                </patternFill>
              </fill>
            </x14:dxf>
          </x14:cfRule>
          <xm:sqref>E46</xm:sqref>
        </x14:conditionalFormatting>
        <x14:conditionalFormatting xmlns:xm="http://schemas.microsoft.com/office/excel/2006/main">
          <x14:cfRule type="expression" priority="148" id="{AA59DC46-1BE4-4C5D-83A3-10CA151E321D}">
            <xm:f>Informació!$D$20="No"</xm:f>
            <x14:dxf>
              <font>
                <color theme="0" tint="-0.34998626667073579"/>
              </font>
              <fill>
                <patternFill>
                  <bgColor theme="0" tint="-0.34998626667073579"/>
                </patternFill>
              </fill>
            </x14:dxf>
          </x14:cfRule>
          <xm:sqref>E47</xm:sqref>
        </x14:conditionalFormatting>
        <x14:conditionalFormatting xmlns:xm="http://schemas.microsoft.com/office/excel/2006/main">
          <x14:cfRule type="expression" priority="147" id="{5664D563-D024-495D-8302-74C0287F01AB}">
            <xm:f>Informació!$D$23="No"</xm:f>
            <x14:dxf>
              <font>
                <color theme="0" tint="-0.34998626667073579"/>
              </font>
              <fill>
                <patternFill>
                  <bgColor theme="0" tint="-0.34998626667073579"/>
                </patternFill>
              </fill>
            </x14:dxf>
          </x14:cfRule>
          <xm:sqref>E50</xm:sqref>
        </x14:conditionalFormatting>
        <x14:conditionalFormatting xmlns:xm="http://schemas.microsoft.com/office/excel/2006/main">
          <x14:cfRule type="expression" priority="146" id="{F16A41E6-A4EC-4D15-9A18-0DC69704EA3E}">
            <xm:f>Informació!$D$23="No"</xm:f>
            <x14:dxf>
              <font>
                <color theme="0" tint="-0.34998626667073579"/>
              </font>
              <fill>
                <patternFill>
                  <bgColor theme="0" tint="-0.34998626667073579"/>
                </patternFill>
              </fill>
            </x14:dxf>
          </x14:cfRule>
          <xm:sqref>E51</xm:sqref>
        </x14:conditionalFormatting>
        <x14:conditionalFormatting xmlns:xm="http://schemas.microsoft.com/office/excel/2006/main">
          <x14:cfRule type="expression" priority="143" id="{91467479-061F-4E6C-908A-E8D74DBFAB92}">
            <xm:f>Informació!$D$23="No"</xm:f>
            <x14:dxf>
              <font>
                <color theme="0" tint="-0.34998626667073579"/>
              </font>
              <fill>
                <patternFill>
                  <bgColor theme="0" tint="-0.34998626667073579"/>
                </patternFill>
              </fill>
            </x14:dxf>
          </x14:cfRule>
          <xm:sqref>E52</xm:sqref>
        </x14:conditionalFormatting>
        <x14:conditionalFormatting xmlns:xm="http://schemas.microsoft.com/office/excel/2006/main">
          <x14:cfRule type="expression" priority="141" id="{C6B1CB69-A156-4156-B041-56F8D9771EF0}">
            <xm:f>Informació!$D$23="No"</xm:f>
            <x14:dxf>
              <font>
                <color theme="0" tint="-0.34998626667073579"/>
              </font>
              <fill>
                <patternFill>
                  <bgColor theme="0" tint="-0.34998626667073579"/>
                </patternFill>
              </fill>
            </x14:dxf>
          </x14:cfRule>
          <xm:sqref>E53</xm:sqref>
        </x14:conditionalFormatting>
        <x14:conditionalFormatting xmlns:xm="http://schemas.microsoft.com/office/excel/2006/main">
          <x14:cfRule type="expression" priority="156" id="{07AE6FC4-8865-4912-AAB6-535219CD3D09}">
            <xm:f>Informació!$D$18="No"</xm:f>
            <x14:dxf>
              <font>
                <color theme="0" tint="-0.34998626667073579"/>
              </font>
              <fill>
                <patternFill>
                  <bgColor theme="0" tint="-0.34998626667073579"/>
                </patternFill>
              </fill>
            </x14:dxf>
          </x14:cfRule>
          <xm:sqref>E52</xm:sqref>
        </x14:conditionalFormatting>
        <x14:conditionalFormatting xmlns:xm="http://schemas.microsoft.com/office/excel/2006/main">
          <x14:cfRule type="expression" priority="155" id="{055CECBB-44CD-4864-A704-7C9458AC7669}">
            <xm:f>Informació!$D$19="No"</xm:f>
            <x14:dxf>
              <font>
                <color theme="0" tint="-0.34998626667073579"/>
              </font>
              <fill>
                <patternFill>
                  <bgColor theme="0" tint="-0.34998626667073579"/>
                </patternFill>
              </fill>
            </x14:dxf>
          </x14:cfRule>
          <xm:sqref>E49:E51</xm:sqref>
        </x14:conditionalFormatting>
        <x14:conditionalFormatting xmlns:xm="http://schemas.microsoft.com/office/excel/2006/main">
          <x14:cfRule type="expression" priority="154" id="{46D2B696-E7AB-4FF4-BBB3-CC19BE234C24}">
            <xm:f>Informació!$D$20="No"</xm:f>
            <x14:dxf>
              <font>
                <color theme="0" tint="-0.34998626667073579"/>
              </font>
              <fill>
                <patternFill>
                  <bgColor theme="0" tint="-0.34998626667073579"/>
                </patternFill>
              </fill>
            </x14:dxf>
          </x14:cfRule>
          <xm:sqref>E47:E48</xm:sqref>
        </x14:conditionalFormatting>
        <x14:conditionalFormatting xmlns:xm="http://schemas.microsoft.com/office/excel/2006/main">
          <x14:cfRule type="expression" priority="128" id="{D1A147D6-92EB-47F1-8A76-4F14F2CC09B4}">
            <xm:f>Informació!$D$23="No"</xm:f>
            <x14:dxf>
              <font>
                <color theme="0" tint="-0.34998626667073579"/>
              </font>
              <fill>
                <patternFill>
                  <bgColor theme="0" tint="-0.34998626667073579"/>
                </patternFill>
              </fill>
            </x14:dxf>
          </x14:cfRule>
          <xm:sqref>D23:F27</xm:sqref>
        </x14:conditionalFormatting>
        <x14:conditionalFormatting xmlns:xm="http://schemas.microsoft.com/office/excel/2006/main">
          <x14:cfRule type="expression" priority="137" id="{01306735-ACAE-413A-9710-509A07331E13}">
            <xm:f>AND(Informació!$D$21="No",Informació!$D$22="No")</xm:f>
            <x14:dxf>
              <font>
                <color theme="0" tint="-0.34998626667073579"/>
              </font>
              <fill>
                <patternFill>
                  <bgColor theme="0" tint="-0.34998626667073579"/>
                </patternFill>
              </fill>
            </x14:dxf>
          </x14:cfRule>
          <xm:sqref>D19</xm:sqref>
        </x14:conditionalFormatting>
        <x14:conditionalFormatting xmlns:xm="http://schemas.microsoft.com/office/excel/2006/main">
          <x14:cfRule type="expression" priority="129" id="{366C4DE3-DBB6-4B11-8182-5409DD1B3F6C}">
            <xm:f>AND(Informació!$D$21="No",Informació!$D$22="No")</xm:f>
            <x14:dxf>
              <font>
                <color theme="0" tint="-0.34998626667073579"/>
              </font>
              <fill>
                <patternFill>
                  <bgColor theme="0" tint="-0.34998626667073579"/>
                </patternFill>
              </fill>
            </x14:dxf>
          </x14:cfRule>
          <xm:sqref>D22:F22</xm:sqref>
        </x14:conditionalFormatting>
        <x14:conditionalFormatting xmlns:xm="http://schemas.microsoft.com/office/excel/2006/main">
          <x14:cfRule type="expression" priority="136" id="{1E0E619A-9C14-4B52-A5C9-82A2F1CDDD7F}">
            <xm:f>Informació!$D$18="No"</xm:f>
            <x14:dxf>
              <font>
                <color theme="0" tint="-0.34998626667073579"/>
              </font>
              <fill>
                <patternFill>
                  <bgColor theme="0" tint="-0.34998626667073579"/>
                </patternFill>
              </fill>
            </x14:dxf>
          </x14:cfRule>
          <xm:sqref>D18:F18</xm:sqref>
        </x14:conditionalFormatting>
        <x14:conditionalFormatting xmlns:xm="http://schemas.microsoft.com/office/excel/2006/main">
          <x14:cfRule type="expression" priority="134" id="{F8656E2B-42FC-4DBE-95E9-F0E01342D363}">
            <xm:f>OR(AND(Informació!$D$21="No",Informació!$D$22="No"),Informació!$D$18="No")</xm:f>
            <x14:dxf>
              <font>
                <color theme="0" tint="-0.34998626667073579"/>
              </font>
              <fill>
                <patternFill>
                  <bgColor theme="0" tint="-0.34998626667073579"/>
                </patternFill>
              </fill>
            </x14:dxf>
          </x14:cfRule>
          <xm:sqref>D20</xm:sqref>
        </x14:conditionalFormatting>
        <x14:conditionalFormatting xmlns:xm="http://schemas.microsoft.com/office/excel/2006/main">
          <x14:cfRule type="expression" priority="135" id="{81BF0474-31E4-43A9-B5D8-115B1FF1952C}">
            <xm:f>Informació!$D$20="No"</xm:f>
            <x14:dxf>
              <font>
                <color theme="0" tint="-0.34998626667073579"/>
              </font>
              <fill>
                <patternFill>
                  <bgColor theme="0" tint="-0.34998626667073579"/>
                </patternFill>
              </fill>
            </x14:dxf>
          </x14:cfRule>
          <xm:sqref>D21</xm:sqref>
        </x14:conditionalFormatting>
        <x14:conditionalFormatting xmlns:xm="http://schemas.microsoft.com/office/excel/2006/main">
          <x14:cfRule type="expression" priority="133" id="{DC44EB1A-468C-44B9-8D94-477B66DA6210}">
            <xm:f>AND(Informació!$D$21="No",Informació!$D$22="No")</xm:f>
            <x14:dxf>
              <font>
                <color theme="0" tint="-0.34998626667073579"/>
              </font>
              <fill>
                <patternFill>
                  <bgColor theme="0" tint="-0.34998626667073579"/>
                </patternFill>
              </fill>
            </x14:dxf>
          </x14:cfRule>
          <xm:sqref>E19</xm:sqref>
        </x14:conditionalFormatting>
        <x14:conditionalFormatting xmlns:xm="http://schemas.microsoft.com/office/excel/2006/main">
          <x14:cfRule type="expression" priority="126" id="{A30EBAC9-69B8-4CA0-A1C4-1B95EB8CDEA2}">
            <xm:f>OR(AND(Informació!$D$21="No",Informació!$D$22="No"),Informació!$D$18="No")</xm:f>
            <x14:dxf>
              <font>
                <color theme="0" tint="-0.34998626667073579"/>
              </font>
              <fill>
                <patternFill>
                  <bgColor theme="0" tint="-0.34998626667073579"/>
                </patternFill>
              </fill>
            </x14:dxf>
          </x14:cfRule>
          <xm:sqref>E20</xm:sqref>
        </x14:conditionalFormatting>
        <x14:conditionalFormatting xmlns:xm="http://schemas.microsoft.com/office/excel/2006/main">
          <x14:cfRule type="expression" priority="132" id="{3D91EC33-C4FE-43E2-935A-433C6C3F369E}">
            <xm:f>Informació!$D$20="No"</xm:f>
            <x14:dxf>
              <font>
                <color theme="0" tint="-0.34998626667073579"/>
              </font>
              <fill>
                <patternFill>
                  <bgColor theme="0" tint="-0.34998626667073579"/>
                </patternFill>
              </fill>
            </x14:dxf>
          </x14:cfRule>
          <xm:sqref>E21</xm:sqref>
        </x14:conditionalFormatting>
        <x14:conditionalFormatting xmlns:xm="http://schemas.microsoft.com/office/excel/2006/main">
          <x14:cfRule type="expression" priority="131" id="{25830F9A-1371-45ED-8D82-99F024077C76}">
            <xm:f>Informació!$D$23="No"</xm:f>
            <x14:dxf>
              <font>
                <color theme="0" tint="-0.34998626667073579"/>
              </font>
              <fill>
                <patternFill>
                  <bgColor theme="0" tint="-0.34998626667073579"/>
                </patternFill>
              </fill>
            </x14:dxf>
          </x14:cfRule>
          <xm:sqref>E24</xm:sqref>
        </x14:conditionalFormatting>
        <x14:conditionalFormatting xmlns:xm="http://schemas.microsoft.com/office/excel/2006/main">
          <x14:cfRule type="expression" priority="130" id="{1E4E15E7-9AEF-42CD-A9F3-99BD1AFA84EF}">
            <xm:f>Informació!$D$23="No"</xm:f>
            <x14:dxf>
              <font>
                <color theme="0" tint="-0.34998626667073579"/>
              </font>
              <fill>
                <patternFill>
                  <bgColor theme="0" tint="-0.34998626667073579"/>
                </patternFill>
              </fill>
            </x14:dxf>
          </x14:cfRule>
          <xm:sqref>E25</xm:sqref>
        </x14:conditionalFormatting>
        <x14:conditionalFormatting xmlns:xm="http://schemas.microsoft.com/office/excel/2006/main">
          <x14:cfRule type="expression" priority="127" id="{83B24704-5889-4CEB-BCE0-10E1CBC3DB5B}">
            <xm:f>Informació!$D$23="No"</xm:f>
            <x14:dxf>
              <font>
                <color theme="0" tint="-0.34998626667073579"/>
              </font>
              <fill>
                <patternFill>
                  <bgColor theme="0" tint="-0.34998626667073579"/>
                </patternFill>
              </fill>
            </x14:dxf>
          </x14:cfRule>
          <xm:sqref>E26</xm:sqref>
        </x14:conditionalFormatting>
        <x14:conditionalFormatting xmlns:xm="http://schemas.microsoft.com/office/excel/2006/main">
          <x14:cfRule type="expression" priority="125" id="{3CD4A133-0D19-4463-AD86-DD41F3A435C4}">
            <xm:f>Informació!$D$23="No"</xm:f>
            <x14:dxf>
              <font>
                <color theme="0" tint="-0.34998626667073579"/>
              </font>
              <fill>
                <patternFill>
                  <bgColor theme="0" tint="-0.34998626667073579"/>
                </patternFill>
              </fill>
            </x14:dxf>
          </x14:cfRule>
          <xm:sqref>E27</xm:sqref>
        </x14:conditionalFormatting>
        <x14:conditionalFormatting xmlns:xm="http://schemas.microsoft.com/office/excel/2006/main">
          <x14:cfRule type="expression" priority="140" id="{657F3BE0-C849-4A04-AC7F-1B2E38F5A32D}">
            <xm:f>Informació!$D$18="No"</xm:f>
            <x14:dxf>
              <font>
                <color theme="0" tint="-0.34998626667073579"/>
              </font>
              <fill>
                <patternFill>
                  <bgColor theme="0" tint="-0.34998626667073579"/>
                </patternFill>
              </fill>
            </x14:dxf>
          </x14:cfRule>
          <xm:sqref>D26:F26</xm:sqref>
        </x14:conditionalFormatting>
        <x14:conditionalFormatting xmlns:xm="http://schemas.microsoft.com/office/excel/2006/main">
          <x14:cfRule type="expression" priority="139" id="{6B5615D5-6BA6-433A-A954-EAF584391102}">
            <xm:f>Informació!$D$19="No"</xm:f>
            <x14:dxf>
              <font>
                <color theme="0" tint="-0.34998626667073579"/>
              </font>
              <fill>
                <patternFill>
                  <bgColor theme="0" tint="-0.34998626667073579"/>
                </patternFill>
              </fill>
            </x14:dxf>
          </x14:cfRule>
          <xm:sqref>D18:F20</xm:sqref>
        </x14:conditionalFormatting>
        <x14:conditionalFormatting xmlns:xm="http://schemas.microsoft.com/office/excel/2006/main">
          <x14:cfRule type="expression" priority="138" id="{0BE88B57-ED1B-48ED-897F-B4D2B3CB9821}">
            <xm:f>Informació!$D$20="No"</xm:f>
            <x14:dxf>
              <font>
                <color theme="0" tint="-0.34998626667073579"/>
              </font>
              <fill>
                <patternFill>
                  <bgColor theme="0" tint="-0.34998626667073579"/>
                </patternFill>
              </fill>
            </x14:dxf>
          </x14:cfRule>
          <xm:sqref>D21:F22</xm:sqref>
        </x14:conditionalFormatting>
        <x14:conditionalFormatting xmlns:xm="http://schemas.microsoft.com/office/excel/2006/main">
          <x14:cfRule type="expression" priority="124" id="{DF7A33B0-B088-4E3C-9CAE-EBC49AC4D96C}">
            <xm:f>Informació!$D$25="No"</xm:f>
            <x14:dxf>
              <font>
                <color theme="0" tint="-0.34998626667073579"/>
              </font>
              <fill>
                <patternFill>
                  <bgColor theme="0" tint="-0.34998626667073579"/>
                </patternFill>
              </fill>
            </x14:dxf>
          </x14:cfRule>
          <xm:sqref>D18:F27</xm:sqref>
        </x14:conditionalFormatting>
        <x14:conditionalFormatting xmlns:xm="http://schemas.microsoft.com/office/excel/2006/main">
          <x14:cfRule type="expression" priority="113" id="{E817C52F-1631-457C-8BDF-1C4CC40B61B6}">
            <xm:f>Informació!$D$23="No"</xm:f>
            <x14:dxf>
              <font>
                <color theme="0" tint="-0.34998626667073579"/>
              </font>
              <fill>
                <patternFill>
                  <bgColor theme="0" tint="-0.34998626667073579"/>
                </patternFill>
              </fill>
            </x14:dxf>
          </x14:cfRule>
          <xm:sqref>F49:F53</xm:sqref>
        </x14:conditionalFormatting>
        <x14:conditionalFormatting xmlns:xm="http://schemas.microsoft.com/office/excel/2006/main">
          <x14:cfRule type="expression" priority="114" id="{BC004726-E781-4B10-B253-DF829A3B7873}">
            <xm:f>AND(Informació!$D$21="No",Informació!$D$22="No")</xm:f>
            <x14:dxf>
              <font>
                <color theme="0" tint="-0.34998626667073579"/>
              </font>
              <fill>
                <patternFill>
                  <bgColor theme="0" tint="-0.34998626667073579"/>
                </patternFill>
              </fill>
            </x14:dxf>
          </x14:cfRule>
          <xm:sqref>F48</xm:sqref>
        </x14:conditionalFormatting>
        <x14:conditionalFormatting xmlns:xm="http://schemas.microsoft.com/office/excel/2006/main">
          <x14:cfRule type="expression" priority="120" id="{78F7E387-C4E8-41BC-AD3E-A19934560BD5}">
            <xm:f>Informació!$D$18="No"</xm:f>
            <x14:dxf>
              <font>
                <color theme="0" tint="-0.34998626667073579"/>
              </font>
              <fill>
                <patternFill>
                  <bgColor theme="0" tint="-0.34998626667073579"/>
                </patternFill>
              </fill>
            </x14:dxf>
          </x14:cfRule>
          <xm:sqref>F44</xm:sqref>
        </x14:conditionalFormatting>
        <x14:conditionalFormatting xmlns:xm="http://schemas.microsoft.com/office/excel/2006/main">
          <x14:cfRule type="expression" priority="119" id="{9E0C406B-C505-4194-AE7C-2B43E6B044C5}">
            <xm:f>OR(AND(Informació!$D$21="No",Informació!$D$22="No"),Informació!$D$18="No")</xm:f>
            <x14:dxf>
              <font>
                <color theme="0" tint="-0.34998626667073579"/>
              </font>
              <fill>
                <patternFill>
                  <bgColor theme="0" tint="-0.34998626667073579"/>
                </patternFill>
              </fill>
            </x14:dxf>
          </x14:cfRule>
          <xm:sqref>F51</xm:sqref>
        </x14:conditionalFormatting>
        <x14:conditionalFormatting xmlns:xm="http://schemas.microsoft.com/office/excel/2006/main">
          <x14:cfRule type="expression" priority="118" id="{2E251D34-4A1E-4903-9759-EABE4F5936F0}">
            <xm:f>AND(Informació!$D$21="No",Informació!$D$22="No")</xm:f>
            <x14:dxf>
              <font>
                <color theme="0" tint="-0.34998626667073579"/>
              </font>
              <fill>
                <patternFill>
                  <bgColor theme="0" tint="-0.34998626667073579"/>
                </patternFill>
              </fill>
            </x14:dxf>
          </x14:cfRule>
          <xm:sqref>F45</xm:sqref>
        </x14:conditionalFormatting>
        <x14:conditionalFormatting xmlns:xm="http://schemas.microsoft.com/office/excel/2006/main">
          <x14:cfRule type="expression" priority="111" id="{D20C5339-BE61-4906-92C0-AA7BB8B29103}">
            <xm:f>OR(AND(Informació!$D$21="No",Informació!$D$22="No"),Informació!$D$18="No")</xm:f>
            <x14:dxf>
              <font>
                <color theme="0" tint="-0.34998626667073579"/>
              </font>
              <fill>
                <patternFill>
                  <bgColor theme="0" tint="-0.34998626667073579"/>
                </patternFill>
              </fill>
            </x14:dxf>
          </x14:cfRule>
          <xm:sqref>F46</xm:sqref>
        </x14:conditionalFormatting>
        <x14:conditionalFormatting xmlns:xm="http://schemas.microsoft.com/office/excel/2006/main">
          <x14:cfRule type="expression" priority="117" id="{DE275EFF-A37C-4EEA-B10B-210269A4E3DB}">
            <xm:f>Informació!$D$20="No"</xm:f>
            <x14:dxf>
              <font>
                <color theme="0" tint="-0.34998626667073579"/>
              </font>
              <fill>
                <patternFill>
                  <bgColor theme="0" tint="-0.34998626667073579"/>
                </patternFill>
              </fill>
            </x14:dxf>
          </x14:cfRule>
          <xm:sqref>F47</xm:sqref>
        </x14:conditionalFormatting>
        <x14:conditionalFormatting xmlns:xm="http://schemas.microsoft.com/office/excel/2006/main">
          <x14:cfRule type="expression" priority="116" id="{E94C510A-063F-4B1F-BA27-23FE988EE8C2}">
            <xm:f>Informació!$D$23="No"</xm:f>
            <x14:dxf>
              <font>
                <color theme="0" tint="-0.34998626667073579"/>
              </font>
              <fill>
                <patternFill>
                  <bgColor theme="0" tint="-0.34998626667073579"/>
                </patternFill>
              </fill>
            </x14:dxf>
          </x14:cfRule>
          <xm:sqref>F50</xm:sqref>
        </x14:conditionalFormatting>
        <x14:conditionalFormatting xmlns:xm="http://schemas.microsoft.com/office/excel/2006/main">
          <x14:cfRule type="expression" priority="115" id="{6F379BC9-BC2D-475E-94CD-A64B9BBB1285}">
            <xm:f>Informació!$D$23="No"</xm:f>
            <x14:dxf>
              <font>
                <color theme="0" tint="-0.34998626667073579"/>
              </font>
              <fill>
                <patternFill>
                  <bgColor theme="0" tint="-0.34998626667073579"/>
                </patternFill>
              </fill>
            </x14:dxf>
          </x14:cfRule>
          <xm:sqref>F51</xm:sqref>
        </x14:conditionalFormatting>
        <x14:conditionalFormatting xmlns:xm="http://schemas.microsoft.com/office/excel/2006/main">
          <x14:cfRule type="expression" priority="112" id="{FBE716A5-7F28-4232-8F0C-3472326A1D60}">
            <xm:f>Informació!$D$23="No"</xm:f>
            <x14:dxf>
              <font>
                <color theme="0" tint="-0.34998626667073579"/>
              </font>
              <fill>
                <patternFill>
                  <bgColor theme="0" tint="-0.34998626667073579"/>
                </patternFill>
              </fill>
            </x14:dxf>
          </x14:cfRule>
          <xm:sqref>F52</xm:sqref>
        </x14:conditionalFormatting>
        <x14:conditionalFormatting xmlns:xm="http://schemas.microsoft.com/office/excel/2006/main">
          <x14:cfRule type="expression" priority="110" id="{7C0525B9-DBA0-4DFE-BD5C-10C3F99B1BEB}">
            <xm:f>Informació!$D$23="No"</xm:f>
            <x14:dxf>
              <font>
                <color theme="0" tint="-0.34998626667073579"/>
              </font>
              <fill>
                <patternFill>
                  <bgColor theme="0" tint="-0.34998626667073579"/>
                </patternFill>
              </fill>
            </x14:dxf>
          </x14:cfRule>
          <xm:sqref>F53</xm:sqref>
        </x14:conditionalFormatting>
        <x14:conditionalFormatting xmlns:xm="http://schemas.microsoft.com/office/excel/2006/main">
          <x14:cfRule type="expression" priority="123" id="{72B922C5-6718-4F36-A08C-0C34F6FF789A}">
            <xm:f>Informació!$D$18="No"</xm:f>
            <x14:dxf>
              <font>
                <color theme="0" tint="-0.34998626667073579"/>
              </font>
              <fill>
                <patternFill>
                  <bgColor theme="0" tint="-0.34998626667073579"/>
                </patternFill>
              </fill>
            </x14:dxf>
          </x14:cfRule>
          <xm:sqref>F52</xm:sqref>
        </x14:conditionalFormatting>
        <x14:conditionalFormatting xmlns:xm="http://schemas.microsoft.com/office/excel/2006/main">
          <x14:cfRule type="expression" priority="122" id="{F5EDE63A-DD36-4EEA-A110-706E29EE74E9}">
            <xm:f>Informació!$D$19="No"</xm:f>
            <x14:dxf>
              <font>
                <color theme="0" tint="-0.34998626667073579"/>
              </font>
              <fill>
                <patternFill>
                  <bgColor theme="0" tint="-0.34998626667073579"/>
                </patternFill>
              </fill>
            </x14:dxf>
          </x14:cfRule>
          <xm:sqref>F49:F51</xm:sqref>
        </x14:conditionalFormatting>
        <x14:conditionalFormatting xmlns:xm="http://schemas.microsoft.com/office/excel/2006/main">
          <x14:cfRule type="expression" priority="121" id="{4C359C63-C65B-4193-A1D7-F4F2E911E59B}">
            <xm:f>Informació!$D$20="No"</xm:f>
            <x14:dxf>
              <font>
                <color theme="0" tint="-0.34998626667073579"/>
              </font>
              <fill>
                <patternFill>
                  <bgColor theme="0" tint="-0.34998626667073579"/>
                </patternFill>
              </fill>
            </x14:dxf>
          </x14:cfRule>
          <xm:sqref>F47:F48</xm:sqref>
        </x14:conditionalFormatting>
        <x14:conditionalFormatting xmlns:xm="http://schemas.microsoft.com/office/excel/2006/main">
          <x14:cfRule type="expression" priority="99" id="{7749F4C8-2B0F-4805-A30D-CA1D11A4C608}">
            <xm:f>Informació!$D$23="No"</xm:f>
            <x14:dxf>
              <font>
                <color theme="0" tint="-0.34998626667073579"/>
              </font>
              <fill>
                <patternFill>
                  <bgColor theme="0" tint="-0.34998626667073579"/>
                </patternFill>
              </fill>
            </x14:dxf>
          </x14:cfRule>
          <xm:sqref>D49:D53</xm:sqref>
        </x14:conditionalFormatting>
        <x14:conditionalFormatting xmlns:xm="http://schemas.microsoft.com/office/excel/2006/main">
          <x14:cfRule type="expression" priority="100" id="{781C3040-145A-429C-94FA-DFEC7010BC50}">
            <xm:f>AND(Informació!$D$21="No",Informació!$D$22="No")</xm:f>
            <x14:dxf>
              <font>
                <color theme="0" tint="-0.34998626667073579"/>
              </font>
              <fill>
                <patternFill>
                  <bgColor theme="0" tint="-0.34998626667073579"/>
                </patternFill>
              </fill>
            </x14:dxf>
          </x14:cfRule>
          <xm:sqref>D48</xm:sqref>
        </x14:conditionalFormatting>
        <x14:conditionalFormatting xmlns:xm="http://schemas.microsoft.com/office/excel/2006/main">
          <x14:cfRule type="expression" priority="106" id="{E5A84DF0-F6D5-4DE8-9261-976E7D93E9FA}">
            <xm:f>Informació!$D$18="No"</xm:f>
            <x14:dxf>
              <font>
                <color theme="0" tint="-0.34998626667073579"/>
              </font>
              <fill>
                <patternFill>
                  <bgColor theme="0" tint="-0.34998626667073579"/>
                </patternFill>
              </fill>
            </x14:dxf>
          </x14:cfRule>
          <xm:sqref>D44</xm:sqref>
        </x14:conditionalFormatting>
        <x14:conditionalFormatting xmlns:xm="http://schemas.microsoft.com/office/excel/2006/main">
          <x14:cfRule type="expression" priority="105" id="{6CD7A364-367D-4C64-9A23-AD0F9D2C9CF5}">
            <xm:f>OR(AND(Informació!$D$21="No",Informació!$D$22="No"),Informació!$D$18="No")</xm:f>
            <x14:dxf>
              <font>
                <color theme="0" tint="-0.34998626667073579"/>
              </font>
              <fill>
                <patternFill>
                  <bgColor theme="0" tint="-0.34998626667073579"/>
                </patternFill>
              </fill>
            </x14:dxf>
          </x14:cfRule>
          <xm:sqref>D51</xm:sqref>
        </x14:conditionalFormatting>
        <x14:conditionalFormatting xmlns:xm="http://schemas.microsoft.com/office/excel/2006/main">
          <x14:cfRule type="expression" priority="104" id="{F85571B2-F1A5-4FD1-8CA7-51A669438417}">
            <xm:f>AND(Informació!$D$21="No",Informació!$D$22="No")</xm:f>
            <x14:dxf>
              <font>
                <color theme="0" tint="-0.34998626667073579"/>
              </font>
              <fill>
                <patternFill>
                  <bgColor theme="0" tint="-0.34998626667073579"/>
                </patternFill>
              </fill>
            </x14:dxf>
          </x14:cfRule>
          <xm:sqref>D45</xm:sqref>
        </x14:conditionalFormatting>
        <x14:conditionalFormatting xmlns:xm="http://schemas.microsoft.com/office/excel/2006/main">
          <x14:cfRule type="expression" priority="97" id="{32DEB288-714C-46BD-A98A-9EC351B898C9}">
            <xm:f>OR(AND(Informació!$D$21="No",Informació!$D$22="No"),Informació!$D$18="No")</xm:f>
            <x14:dxf>
              <font>
                <color theme="0" tint="-0.34998626667073579"/>
              </font>
              <fill>
                <patternFill>
                  <bgColor theme="0" tint="-0.34998626667073579"/>
                </patternFill>
              </fill>
            </x14:dxf>
          </x14:cfRule>
          <xm:sqref>D46</xm:sqref>
        </x14:conditionalFormatting>
        <x14:conditionalFormatting xmlns:xm="http://schemas.microsoft.com/office/excel/2006/main">
          <x14:cfRule type="expression" priority="103" id="{760EE320-A8FB-4B67-9BFC-AF593B53F381}">
            <xm:f>Informació!$D$20="No"</xm:f>
            <x14:dxf>
              <font>
                <color theme="0" tint="-0.34998626667073579"/>
              </font>
              <fill>
                <patternFill>
                  <bgColor theme="0" tint="-0.34998626667073579"/>
                </patternFill>
              </fill>
            </x14:dxf>
          </x14:cfRule>
          <xm:sqref>D47</xm:sqref>
        </x14:conditionalFormatting>
        <x14:conditionalFormatting xmlns:xm="http://schemas.microsoft.com/office/excel/2006/main">
          <x14:cfRule type="expression" priority="102" id="{E69DCE06-E9AB-41B2-B8E6-5F15256FF584}">
            <xm:f>Informació!$D$23="No"</xm:f>
            <x14:dxf>
              <font>
                <color theme="0" tint="-0.34998626667073579"/>
              </font>
              <fill>
                <patternFill>
                  <bgColor theme="0" tint="-0.34998626667073579"/>
                </patternFill>
              </fill>
            </x14:dxf>
          </x14:cfRule>
          <xm:sqref>D50</xm:sqref>
        </x14:conditionalFormatting>
        <x14:conditionalFormatting xmlns:xm="http://schemas.microsoft.com/office/excel/2006/main">
          <x14:cfRule type="expression" priority="101" id="{2A77D4FB-7BCE-450C-AA4A-475D7333AD7A}">
            <xm:f>Informació!$D$23="No"</xm:f>
            <x14:dxf>
              <font>
                <color theme="0" tint="-0.34998626667073579"/>
              </font>
              <fill>
                <patternFill>
                  <bgColor theme="0" tint="-0.34998626667073579"/>
                </patternFill>
              </fill>
            </x14:dxf>
          </x14:cfRule>
          <xm:sqref>D51</xm:sqref>
        </x14:conditionalFormatting>
        <x14:conditionalFormatting xmlns:xm="http://schemas.microsoft.com/office/excel/2006/main">
          <x14:cfRule type="expression" priority="98" id="{10BCF01F-5990-4C03-8AC1-B3DA0EF529DA}">
            <xm:f>Informació!$D$23="No"</xm:f>
            <x14:dxf>
              <font>
                <color theme="0" tint="-0.34998626667073579"/>
              </font>
              <fill>
                <patternFill>
                  <bgColor theme="0" tint="-0.34998626667073579"/>
                </patternFill>
              </fill>
            </x14:dxf>
          </x14:cfRule>
          <xm:sqref>D52</xm:sqref>
        </x14:conditionalFormatting>
        <x14:conditionalFormatting xmlns:xm="http://schemas.microsoft.com/office/excel/2006/main">
          <x14:cfRule type="expression" priority="96" id="{6C56099B-ABB8-4677-B6CF-DBAD70A96CD5}">
            <xm:f>Informació!$D$23="No"</xm:f>
            <x14:dxf>
              <font>
                <color theme="0" tint="-0.34998626667073579"/>
              </font>
              <fill>
                <patternFill>
                  <bgColor theme="0" tint="-0.34998626667073579"/>
                </patternFill>
              </fill>
            </x14:dxf>
          </x14:cfRule>
          <xm:sqref>D53</xm:sqref>
        </x14:conditionalFormatting>
        <x14:conditionalFormatting xmlns:xm="http://schemas.microsoft.com/office/excel/2006/main">
          <x14:cfRule type="expression" priority="109" id="{F044185A-9BE5-4DB8-A3F3-FF5E7FEFA63F}">
            <xm:f>Informació!$D$18="No"</xm:f>
            <x14:dxf>
              <font>
                <color theme="0" tint="-0.34998626667073579"/>
              </font>
              <fill>
                <patternFill>
                  <bgColor theme="0" tint="-0.34998626667073579"/>
                </patternFill>
              </fill>
            </x14:dxf>
          </x14:cfRule>
          <xm:sqref>D52</xm:sqref>
        </x14:conditionalFormatting>
        <x14:conditionalFormatting xmlns:xm="http://schemas.microsoft.com/office/excel/2006/main">
          <x14:cfRule type="expression" priority="108" id="{B0FD9341-D0BD-45D8-A1E1-85072F19D0A4}">
            <xm:f>Informació!$D$19="No"</xm:f>
            <x14:dxf>
              <font>
                <color theme="0" tint="-0.34998626667073579"/>
              </font>
              <fill>
                <patternFill>
                  <bgColor theme="0" tint="-0.34998626667073579"/>
                </patternFill>
              </fill>
            </x14:dxf>
          </x14:cfRule>
          <xm:sqref>D49:D51</xm:sqref>
        </x14:conditionalFormatting>
        <x14:conditionalFormatting xmlns:xm="http://schemas.microsoft.com/office/excel/2006/main">
          <x14:cfRule type="expression" priority="107" id="{E8A9DAAB-FA51-4F3D-89B0-3C2A21307888}">
            <xm:f>Informació!$D$20="No"</xm:f>
            <x14:dxf>
              <font>
                <color theme="0" tint="-0.34998626667073579"/>
              </font>
              <fill>
                <patternFill>
                  <bgColor theme="0" tint="-0.34998626667073579"/>
                </patternFill>
              </fill>
            </x14:dxf>
          </x14:cfRule>
          <xm:sqref>D47:D48</xm:sqref>
        </x14:conditionalFormatting>
        <x14:conditionalFormatting xmlns:xm="http://schemas.microsoft.com/office/excel/2006/main">
          <x14:cfRule type="expression" priority="95" id="{707A31A9-272A-4FB0-9F1D-7357AE0164A1}">
            <xm:f>OR(Informació!$D$25="No",Informació!$D$17="No")</xm:f>
            <x14:dxf>
              <font>
                <color theme="0" tint="-0.34998626667073579"/>
              </font>
              <fill>
                <patternFill>
                  <bgColor theme="0" tint="-0.34998626667073579"/>
                </patternFill>
              </fill>
            </x14:dxf>
          </x14:cfRule>
          <xm:sqref>D44:H53</xm:sqref>
        </x14:conditionalFormatting>
        <x14:conditionalFormatting xmlns:xm="http://schemas.microsoft.com/office/excel/2006/main">
          <x14:cfRule type="expression" priority="86" id="{74246F8C-D316-4129-8268-C8F4FD1DCFC0}">
            <xm:f>Informació!$D$23="No"</xm:f>
            <x14:dxf>
              <font>
                <color theme="0" tint="-0.34998626667073579"/>
              </font>
              <fill>
                <patternFill>
                  <bgColor theme="0" tint="-0.34998626667073579"/>
                </patternFill>
              </fill>
            </x14:dxf>
          </x14:cfRule>
          <xm:sqref>G10:G14</xm:sqref>
        </x14:conditionalFormatting>
        <x14:conditionalFormatting xmlns:xm="http://schemas.microsoft.com/office/excel/2006/main">
          <x14:cfRule type="expression" priority="91" id="{176FF2C1-8313-4302-92FD-676B57DA17CC}">
            <xm:f>AND(Informació!$D$21="No",Informació!$D$22="No")</xm:f>
            <x14:dxf>
              <font>
                <color theme="0" tint="-0.34998626667073579"/>
              </font>
              <fill>
                <patternFill>
                  <bgColor theme="0" tint="-0.34998626667073579"/>
                </patternFill>
              </fill>
            </x14:dxf>
          </x14:cfRule>
          <xm:sqref>G6</xm:sqref>
        </x14:conditionalFormatting>
        <x14:conditionalFormatting xmlns:xm="http://schemas.microsoft.com/office/excel/2006/main">
          <x14:cfRule type="expression" priority="87" id="{F990E975-D660-4C59-B9CF-F9111D4CD86E}">
            <xm:f>AND(Informació!$D$21="No",Informació!$D$22="No")</xm:f>
            <x14:dxf>
              <font>
                <color theme="0" tint="-0.34998626667073579"/>
              </font>
              <fill>
                <patternFill>
                  <bgColor theme="0" tint="-0.34998626667073579"/>
                </patternFill>
              </fill>
            </x14:dxf>
          </x14:cfRule>
          <xm:sqref>G9</xm:sqref>
        </x14:conditionalFormatting>
        <x14:conditionalFormatting xmlns:xm="http://schemas.microsoft.com/office/excel/2006/main">
          <x14:cfRule type="expression" priority="90" id="{F3A7E133-1BEE-40CE-A153-B11B9C7B9E0D}">
            <xm:f>Informació!$D$18="No"</xm:f>
            <x14:dxf>
              <font>
                <color theme="0" tint="-0.34998626667073579"/>
              </font>
              <fill>
                <patternFill>
                  <bgColor theme="0" tint="-0.34998626667073579"/>
                </patternFill>
              </fill>
            </x14:dxf>
          </x14:cfRule>
          <xm:sqref>G5</xm:sqref>
        </x14:conditionalFormatting>
        <x14:conditionalFormatting xmlns:xm="http://schemas.microsoft.com/office/excel/2006/main">
          <x14:cfRule type="expression" priority="88" id="{ED0D13AC-DAC6-43B0-B74B-1B2C8187BD6B}">
            <xm:f>OR(AND(Informació!$D$21="No",Informació!$D$22="No"),Informació!$D$18="No")</xm:f>
            <x14:dxf>
              <font>
                <color theme="0" tint="-0.34998626667073579"/>
              </font>
              <fill>
                <patternFill>
                  <bgColor theme="0" tint="-0.34998626667073579"/>
                </patternFill>
              </fill>
            </x14:dxf>
          </x14:cfRule>
          <xm:sqref>G7</xm:sqref>
        </x14:conditionalFormatting>
        <x14:conditionalFormatting xmlns:xm="http://schemas.microsoft.com/office/excel/2006/main">
          <x14:cfRule type="expression" priority="89" id="{A21E266A-9857-43DD-BE17-3476D7BCB195}">
            <xm:f>Informació!$D$20="No"</xm:f>
            <x14:dxf>
              <font>
                <color theme="0" tint="-0.34998626667073579"/>
              </font>
              <fill>
                <patternFill>
                  <bgColor theme="0" tint="-0.34998626667073579"/>
                </patternFill>
              </fill>
            </x14:dxf>
          </x14:cfRule>
          <xm:sqref>G8</xm:sqref>
        </x14:conditionalFormatting>
        <x14:conditionalFormatting xmlns:xm="http://schemas.microsoft.com/office/excel/2006/main">
          <x14:cfRule type="expression" priority="94" id="{FB9D20D0-6DA8-4AB7-AB87-F7D6A7C74B7E}">
            <xm:f>Informació!$D$18="No"</xm:f>
            <x14:dxf>
              <font>
                <color theme="0" tint="-0.34998626667073579"/>
              </font>
              <fill>
                <patternFill>
                  <bgColor theme="0" tint="-0.34998626667073579"/>
                </patternFill>
              </fill>
            </x14:dxf>
          </x14:cfRule>
          <xm:sqref>G13</xm:sqref>
        </x14:conditionalFormatting>
        <x14:conditionalFormatting xmlns:xm="http://schemas.microsoft.com/office/excel/2006/main">
          <x14:cfRule type="expression" priority="93" id="{2822B1CF-9030-4BCD-8513-3C74D3D79EBE}">
            <xm:f>Informació!$D$19="No"</xm:f>
            <x14:dxf>
              <font>
                <color theme="0" tint="-0.34998626667073579"/>
              </font>
              <fill>
                <patternFill>
                  <bgColor theme="0" tint="-0.34998626667073579"/>
                </patternFill>
              </fill>
            </x14:dxf>
          </x14:cfRule>
          <xm:sqref>G5:G7</xm:sqref>
        </x14:conditionalFormatting>
        <x14:conditionalFormatting xmlns:xm="http://schemas.microsoft.com/office/excel/2006/main">
          <x14:cfRule type="expression" priority="92" id="{7C5C74C0-94A3-408C-AC5A-E1BE96538DB3}">
            <xm:f>Informació!$D$20="No"</xm:f>
            <x14:dxf>
              <font>
                <color theme="0" tint="-0.34998626667073579"/>
              </font>
              <fill>
                <patternFill>
                  <bgColor theme="0" tint="-0.34998626667073579"/>
                </patternFill>
              </fill>
            </x14:dxf>
          </x14:cfRule>
          <xm:sqref>G8:G9</xm:sqref>
        </x14:conditionalFormatting>
        <x14:conditionalFormatting xmlns:xm="http://schemas.microsoft.com/office/excel/2006/main">
          <x14:cfRule type="expression" priority="77" id="{A8118979-7CE8-4C0E-BA60-D0EF41729A77}">
            <xm:f>Informació!$D$23="No"</xm:f>
            <x14:dxf>
              <font>
                <color theme="0" tint="-0.34998626667073579"/>
              </font>
              <fill>
                <patternFill>
                  <bgColor theme="0" tint="-0.34998626667073579"/>
                </patternFill>
              </fill>
            </x14:dxf>
          </x14:cfRule>
          <xm:sqref>H10:H14</xm:sqref>
        </x14:conditionalFormatting>
        <x14:conditionalFormatting xmlns:xm="http://schemas.microsoft.com/office/excel/2006/main">
          <x14:cfRule type="expression" priority="82" id="{43E12202-1CCE-47B1-BD29-FBF5F7FD6BF1}">
            <xm:f>AND(Informació!$D$21="No",Informació!$D$22="No")</xm:f>
            <x14:dxf>
              <font>
                <color theme="0" tint="-0.34998626667073579"/>
              </font>
              <fill>
                <patternFill>
                  <bgColor theme="0" tint="-0.34998626667073579"/>
                </patternFill>
              </fill>
            </x14:dxf>
          </x14:cfRule>
          <xm:sqref>H6</xm:sqref>
        </x14:conditionalFormatting>
        <x14:conditionalFormatting xmlns:xm="http://schemas.microsoft.com/office/excel/2006/main">
          <x14:cfRule type="expression" priority="78" id="{8BD40416-7915-4D7A-BB3B-47E114EE4336}">
            <xm:f>AND(Informació!$D$21="No",Informació!$D$22="No")</xm:f>
            <x14:dxf>
              <font>
                <color theme="0" tint="-0.34998626667073579"/>
              </font>
              <fill>
                <patternFill>
                  <bgColor theme="0" tint="-0.34998626667073579"/>
                </patternFill>
              </fill>
            </x14:dxf>
          </x14:cfRule>
          <xm:sqref>H9</xm:sqref>
        </x14:conditionalFormatting>
        <x14:conditionalFormatting xmlns:xm="http://schemas.microsoft.com/office/excel/2006/main">
          <x14:cfRule type="expression" priority="81" id="{773A164C-597A-4824-B507-7E431338BAC0}">
            <xm:f>Informació!$D$18="No"</xm:f>
            <x14:dxf>
              <font>
                <color theme="0" tint="-0.34998626667073579"/>
              </font>
              <fill>
                <patternFill>
                  <bgColor theme="0" tint="-0.34998626667073579"/>
                </patternFill>
              </fill>
            </x14:dxf>
          </x14:cfRule>
          <xm:sqref>H5</xm:sqref>
        </x14:conditionalFormatting>
        <x14:conditionalFormatting xmlns:xm="http://schemas.microsoft.com/office/excel/2006/main">
          <x14:cfRule type="expression" priority="79" id="{71EB3AD0-D92D-4D83-9C72-91A9B17CA54E}">
            <xm:f>OR(AND(Informació!$D$21="No",Informació!$D$22="No"),Informació!$D$18="No")</xm:f>
            <x14:dxf>
              <font>
                <color theme="0" tint="-0.34998626667073579"/>
              </font>
              <fill>
                <patternFill>
                  <bgColor theme="0" tint="-0.34998626667073579"/>
                </patternFill>
              </fill>
            </x14:dxf>
          </x14:cfRule>
          <xm:sqref>H7</xm:sqref>
        </x14:conditionalFormatting>
        <x14:conditionalFormatting xmlns:xm="http://schemas.microsoft.com/office/excel/2006/main">
          <x14:cfRule type="expression" priority="80" id="{EF868CB6-AE0F-4F27-B1E0-BCC0536014C0}">
            <xm:f>Informació!$D$20="No"</xm:f>
            <x14:dxf>
              <font>
                <color theme="0" tint="-0.34998626667073579"/>
              </font>
              <fill>
                <patternFill>
                  <bgColor theme="0" tint="-0.34998626667073579"/>
                </patternFill>
              </fill>
            </x14:dxf>
          </x14:cfRule>
          <xm:sqref>H8</xm:sqref>
        </x14:conditionalFormatting>
        <x14:conditionalFormatting xmlns:xm="http://schemas.microsoft.com/office/excel/2006/main">
          <x14:cfRule type="expression" priority="85" id="{43CE1333-88A1-4A3E-98DF-ADB6F8010877}">
            <xm:f>Informació!$D$18="No"</xm:f>
            <x14:dxf>
              <font>
                <color theme="0" tint="-0.34998626667073579"/>
              </font>
              <fill>
                <patternFill>
                  <bgColor theme="0" tint="-0.34998626667073579"/>
                </patternFill>
              </fill>
            </x14:dxf>
          </x14:cfRule>
          <xm:sqref>H13</xm:sqref>
        </x14:conditionalFormatting>
        <x14:conditionalFormatting xmlns:xm="http://schemas.microsoft.com/office/excel/2006/main">
          <x14:cfRule type="expression" priority="84" id="{75E68D5C-B05E-4361-8323-FBE394FD2F59}">
            <xm:f>Informació!$D$19="No"</xm:f>
            <x14:dxf>
              <font>
                <color theme="0" tint="-0.34998626667073579"/>
              </font>
              <fill>
                <patternFill>
                  <bgColor theme="0" tint="-0.34998626667073579"/>
                </patternFill>
              </fill>
            </x14:dxf>
          </x14:cfRule>
          <xm:sqref>H5:H7</xm:sqref>
        </x14:conditionalFormatting>
        <x14:conditionalFormatting xmlns:xm="http://schemas.microsoft.com/office/excel/2006/main">
          <x14:cfRule type="expression" priority="83" id="{33A8C29D-D0DE-42BB-BD1B-F824C64B7B98}">
            <xm:f>Informació!$D$20="No"</xm:f>
            <x14:dxf>
              <font>
                <color theme="0" tint="-0.34998626667073579"/>
              </font>
              <fill>
                <patternFill>
                  <bgColor theme="0" tint="-0.34998626667073579"/>
                </patternFill>
              </fill>
            </x14:dxf>
          </x14:cfRule>
          <xm:sqref>H8:H9</xm:sqref>
        </x14:conditionalFormatting>
        <x14:conditionalFormatting xmlns:xm="http://schemas.microsoft.com/office/excel/2006/main">
          <x14:cfRule type="expression" priority="75" id="{F8B2CA72-14D6-401E-929E-E44C9C496303}">
            <xm:f>AND(Informació!$D$21="No",Informació!$D$22="No")</xm:f>
            <x14:dxf>
              <font>
                <color theme="0" tint="-0.34998626667073579"/>
              </font>
              <fill>
                <patternFill>
                  <bgColor theme="0" tint="-0.34998626667073579"/>
                </patternFill>
              </fill>
            </x14:dxf>
          </x14:cfRule>
          <xm:sqref>G19</xm:sqref>
        </x14:conditionalFormatting>
        <x14:conditionalFormatting xmlns:xm="http://schemas.microsoft.com/office/excel/2006/main">
          <x14:cfRule type="expression" priority="74" id="{F50FF9A5-9F6A-4365-A502-05125191B3A9}">
            <xm:f>Informació!$D$18="No"</xm:f>
            <x14:dxf>
              <font>
                <color theme="0" tint="-0.34998626667073579"/>
              </font>
              <fill>
                <patternFill>
                  <bgColor theme="0" tint="-0.34998626667073579"/>
                </patternFill>
              </fill>
            </x14:dxf>
          </x14:cfRule>
          <xm:sqref>G23</xm:sqref>
        </x14:conditionalFormatting>
        <x14:conditionalFormatting xmlns:xm="http://schemas.microsoft.com/office/excel/2006/main">
          <x14:cfRule type="expression" priority="72" id="{DAB92F4E-B495-4E0A-A9E9-EB8BF25166A6}">
            <xm:f>OR(AND(Informació!$D$21="No",Informació!$D$22="No"),Informació!$D$18="No")</xm:f>
            <x14:dxf>
              <font>
                <color theme="0" tint="-0.34998626667073579"/>
              </font>
              <fill>
                <patternFill>
                  <bgColor theme="0" tint="-0.34998626667073579"/>
                </patternFill>
              </fill>
            </x14:dxf>
          </x14:cfRule>
          <xm:sqref>G20</xm:sqref>
        </x14:conditionalFormatting>
        <x14:conditionalFormatting xmlns:xm="http://schemas.microsoft.com/office/excel/2006/main">
          <x14:cfRule type="expression" priority="73" id="{C84801C0-A94F-4097-80A6-729F5CEF1CAC}">
            <xm:f>Informació!$D$20="No"</xm:f>
            <x14:dxf>
              <font>
                <color theme="0" tint="-0.34998626667073579"/>
              </font>
              <fill>
                <patternFill>
                  <bgColor theme="0" tint="-0.34998626667073579"/>
                </patternFill>
              </fill>
            </x14:dxf>
          </x14:cfRule>
          <xm:sqref>G21</xm:sqref>
        </x14:conditionalFormatting>
        <x14:conditionalFormatting xmlns:xm="http://schemas.microsoft.com/office/excel/2006/main">
          <x14:cfRule type="expression" priority="76" id="{BE6C7583-A8E7-46F5-B7E9-79A9EB599496}">
            <xm:f>Informació!$D$19="No"</xm:f>
            <x14:dxf>
              <font>
                <color theme="0" tint="-0.34998626667073579"/>
              </font>
              <fill>
                <patternFill>
                  <bgColor theme="0" tint="-0.34998626667073579"/>
                </patternFill>
              </fill>
            </x14:dxf>
          </x14:cfRule>
          <xm:sqref>G23:G25</xm:sqref>
        </x14:conditionalFormatting>
        <x14:conditionalFormatting xmlns:xm="http://schemas.microsoft.com/office/excel/2006/main">
          <x14:cfRule type="expression" priority="66" id="{4C4D53E0-7C85-425C-8106-A4FFC8957616}">
            <xm:f>Informació!$D$23="No"</xm:f>
            <x14:dxf>
              <font>
                <color theme="0" tint="-0.34998626667073579"/>
              </font>
              <fill>
                <patternFill>
                  <bgColor theme="0" tint="-0.34998626667073579"/>
                </patternFill>
              </fill>
            </x14:dxf>
          </x14:cfRule>
          <xm:sqref>G23:G27</xm:sqref>
        </x14:conditionalFormatting>
        <x14:conditionalFormatting xmlns:xm="http://schemas.microsoft.com/office/excel/2006/main">
          <x14:cfRule type="expression" priority="67" id="{7810FBA7-758C-4251-9398-5B0D00111D3D}">
            <xm:f>AND(Informació!$D$21="No",Informació!$D$22="No")</xm:f>
            <x14:dxf>
              <font>
                <color theme="0" tint="-0.34998626667073579"/>
              </font>
              <fill>
                <patternFill>
                  <bgColor theme="0" tint="-0.34998626667073579"/>
                </patternFill>
              </fill>
            </x14:dxf>
          </x14:cfRule>
          <xm:sqref>G22</xm:sqref>
        </x14:conditionalFormatting>
        <x14:conditionalFormatting xmlns:xm="http://schemas.microsoft.com/office/excel/2006/main">
          <x14:cfRule type="expression" priority="68" id="{91F3EDB7-06A3-4B99-9B05-924626D77CAA}">
            <xm:f>Informació!$D$18="No"</xm:f>
            <x14:dxf>
              <font>
                <color theme="0" tint="-0.34998626667073579"/>
              </font>
              <fill>
                <patternFill>
                  <bgColor theme="0" tint="-0.34998626667073579"/>
                </patternFill>
              </fill>
            </x14:dxf>
          </x14:cfRule>
          <xm:sqref>G18</xm:sqref>
        </x14:conditionalFormatting>
        <x14:conditionalFormatting xmlns:xm="http://schemas.microsoft.com/office/excel/2006/main">
          <x14:cfRule type="expression" priority="71" id="{3EAF9AC3-EAB6-4016-B853-43B123B0A753}">
            <xm:f>Informació!$D$18="No"</xm:f>
            <x14:dxf>
              <font>
                <color theme="0" tint="-0.34998626667073579"/>
              </font>
              <fill>
                <patternFill>
                  <bgColor theme="0" tint="-0.34998626667073579"/>
                </patternFill>
              </fill>
            </x14:dxf>
          </x14:cfRule>
          <xm:sqref>G26</xm:sqref>
        </x14:conditionalFormatting>
        <x14:conditionalFormatting xmlns:xm="http://schemas.microsoft.com/office/excel/2006/main">
          <x14:cfRule type="expression" priority="70" id="{48C52462-480E-4A72-914F-79E4F78CD097}">
            <xm:f>Informació!$D$19="No"</xm:f>
            <x14:dxf>
              <font>
                <color theme="0" tint="-0.34998626667073579"/>
              </font>
              <fill>
                <patternFill>
                  <bgColor theme="0" tint="-0.34998626667073579"/>
                </patternFill>
              </fill>
            </x14:dxf>
          </x14:cfRule>
          <xm:sqref>G18:G20</xm:sqref>
        </x14:conditionalFormatting>
        <x14:conditionalFormatting xmlns:xm="http://schemas.microsoft.com/office/excel/2006/main">
          <x14:cfRule type="expression" priority="69" id="{B455213A-457E-4588-8116-B971144CE1F2}">
            <xm:f>Informació!$D$20="No"</xm:f>
            <x14:dxf>
              <font>
                <color theme="0" tint="-0.34998626667073579"/>
              </font>
              <fill>
                <patternFill>
                  <bgColor theme="0" tint="-0.34998626667073579"/>
                </patternFill>
              </fill>
            </x14:dxf>
          </x14:cfRule>
          <xm:sqref>G21:G22</xm:sqref>
        </x14:conditionalFormatting>
        <x14:conditionalFormatting xmlns:xm="http://schemas.microsoft.com/office/excel/2006/main">
          <x14:cfRule type="expression" priority="65" id="{1D47C677-9F75-49F3-9C54-7D9C80B37C70}">
            <xm:f>Informació!$D$25="No"</xm:f>
            <x14:dxf>
              <font>
                <color theme="0" tint="-0.34998626667073579"/>
              </font>
              <fill>
                <patternFill>
                  <bgColor theme="0" tint="-0.34998626667073579"/>
                </patternFill>
              </fill>
            </x14:dxf>
          </x14:cfRule>
          <xm:sqref>G18:G27</xm:sqref>
        </x14:conditionalFormatting>
        <x14:conditionalFormatting xmlns:xm="http://schemas.microsoft.com/office/excel/2006/main">
          <x14:cfRule type="expression" priority="63" id="{FF0C6DB5-8EDA-4886-A68B-6C16A4F1129D}">
            <xm:f>AND(Informació!$D$21="No",Informació!$D$22="No")</xm:f>
            <x14:dxf>
              <font>
                <color theme="0" tint="-0.34998626667073579"/>
              </font>
              <fill>
                <patternFill>
                  <bgColor theme="0" tint="-0.34998626667073579"/>
                </patternFill>
              </fill>
            </x14:dxf>
          </x14:cfRule>
          <xm:sqref>H19</xm:sqref>
        </x14:conditionalFormatting>
        <x14:conditionalFormatting xmlns:xm="http://schemas.microsoft.com/office/excel/2006/main">
          <x14:cfRule type="expression" priority="62" id="{416F8A02-7584-40F9-9348-798AA3334308}">
            <xm:f>Informació!$D$18="No"</xm:f>
            <x14:dxf>
              <font>
                <color theme="0" tint="-0.34998626667073579"/>
              </font>
              <fill>
                <patternFill>
                  <bgColor theme="0" tint="-0.34998626667073579"/>
                </patternFill>
              </fill>
            </x14:dxf>
          </x14:cfRule>
          <xm:sqref>H23</xm:sqref>
        </x14:conditionalFormatting>
        <x14:conditionalFormatting xmlns:xm="http://schemas.microsoft.com/office/excel/2006/main">
          <x14:cfRule type="expression" priority="60" id="{89146E03-F4BB-4203-9DC3-8880D611F116}">
            <xm:f>OR(AND(Informació!$D$21="No",Informació!$D$22="No"),Informació!$D$18="No")</xm:f>
            <x14:dxf>
              <font>
                <color theme="0" tint="-0.34998626667073579"/>
              </font>
              <fill>
                <patternFill>
                  <bgColor theme="0" tint="-0.34998626667073579"/>
                </patternFill>
              </fill>
            </x14:dxf>
          </x14:cfRule>
          <xm:sqref>H20</xm:sqref>
        </x14:conditionalFormatting>
        <x14:conditionalFormatting xmlns:xm="http://schemas.microsoft.com/office/excel/2006/main">
          <x14:cfRule type="expression" priority="61" id="{A3109016-2B29-4DC2-BACE-D811A32EC877}">
            <xm:f>Informació!$D$20="No"</xm:f>
            <x14:dxf>
              <font>
                <color theme="0" tint="-0.34998626667073579"/>
              </font>
              <fill>
                <patternFill>
                  <bgColor theme="0" tint="-0.34998626667073579"/>
                </patternFill>
              </fill>
            </x14:dxf>
          </x14:cfRule>
          <xm:sqref>H21</xm:sqref>
        </x14:conditionalFormatting>
        <x14:conditionalFormatting xmlns:xm="http://schemas.microsoft.com/office/excel/2006/main">
          <x14:cfRule type="expression" priority="64" id="{51ED8AA9-22EC-4130-9369-F69AFC16F19A}">
            <xm:f>Informació!$D$19="No"</xm:f>
            <x14:dxf>
              <font>
                <color theme="0" tint="-0.34998626667073579"/>
              </font>
              <fill>
                <patternFill>
                  <bgColor theme="0" tint="-0.34998626667073579"/>
                </patternFill>
              </fill>
            </x14:dxf>
          </x14:cfRule>
          <xm:sqref>H23:H25</xm:sqref>
        </x14:conditionalFormatting>
        <x14:conditionalFormatting xmlns:xm="http://schemas.microsoft.com/office/excel/2006/main">
          <x14:cfRule type="expression" priority="54" id="{74000661-7FDA-4DE6-9983-10BCB14B4C13}">
            <xm:f>Informació!$D$23="No"</xm:f>
            <x14:dxf>
              <font>
                <color theme="0" tint="-0.34998626667073579"/>
              </font>
              <fill>
                <patternFill>
                  <bgColor theme="0" tint="-0.34998626667073579"/>
                </patternFill>
              </fill>
            </x14:dxf>
          </x14:cfRule>
          <xm:sqref>H23:H27</xm:sqref>
        </x14:conditionalFormatting>
        <x14:conditionalFormatting xmlns:xm="http://schemas.microsoft.com/office/excel/2006/main">
          <x14:cfRule type="expression" priority="55" id="{93D75ED4-692B-4D2D-8FB2-2DAE58180019}">
            <xm:f>AND(Informació!$D$21="No",Informació!$D$22="No")</xm:f>
            <x14:dxf>
              <font>
                <color theme="0" tint="-0.34998626667073579"/>
              </font>
              <fill>
                <patternFill>
                  <bgColor theme="0" tint="-0.34998626667073579"/>
                </patternFill>
              </fill>
            </x14:dxf>
          </x14:cfRule>
          <xm:sqref>H22</xm:sqref>
        </x14:conditionalFormatting>
        <x14:conditionalFormatting xmlns:xm="http://schemas.microsoft.com/office/excel/2006/main">
          <x14:cfRule type="expression" priority="56" id="{13D2D3E5-46AD-4142-90FE-21C5FD9C9866}">
            <xm:f>Informació!$D$18="No"</xm:f>
            <x14:dxf>
              <font>
                <color theme="0" tint="-0.34998626667073579"/>
              </font>
              <fill>
                <patternFill>
                  <bgColor theme="0" tint="-0.34998626667073579"/>
                </patternFill>
              </fill>
            </x14:dxf>
          </x14:cfRule>
          <xm:sqref>H18</xm:sqref>
        </x14:conditionalFormatting>
        <x14:conditionalFormatting xmlns:xm="http://schemas.microsoft.com/office/excel/2006/main">
          <x14:cfRule type="expression" priority="59" id="{EA6191FA-975B-485B-9C5B-5D6F282E7C37}">
            <xm:f>Informació!$D$18="No"</xm:f>
            <x14:dxf>
              <font>
                <color theme="0" tint="-0.34998626667073579"/>
              </font>
              <fill>
                <patternFill>
                  <bgColor theme="0" tint="-0.34998626667073579"/>
                </patternFill>
              </fill>
            </x14:dxf>
          </x14:cfRule>
          <xm:sqref>H26</xm:sqref>
        </x14:conditionalFormatting>
        <x14:conditionalFormatting xmlns:xm="http://schemas.microsoft.com/office/excel/2006/main">
          <x14:cfRule type="expression" priority="58" id="{37745352-ACD2-460F-8398-9EF6A8DB79BA}">
            <xm:f>Informació!$D$19="No"</xm:f>
            <x14:dxf>
              <font>
                <color theme="0" tint="-0.34998626667073579"/>
              </font>
              <fill>
                <patternFill>
                  <bgColor theme="0" tint="-0.34998626667073579"/>
                </patternFill>
              </fill>
            </x14:dxf>
          </x14:cfRule>
          <xm:sqref>H18:H20</xm:sqref>
        </x14:conditionalFormatting>
        <x14:conditionalFormatting xmlns:xm="http://schemas.microsoft.com/office/excel/2006/main">
          <x14:cfRule type="expression" priority="57" id="{C56C9A00-6B67-4614-97CA-F3AFD6C3BCA4}">
            <xm:f>Informació!$D$20="No"</xm:f>
            <x14:dxf>
              <font>
                <color theme="0" tint="-0.34998626667073579"/>
              </font>
              <fill>
                <patternFill>
                  <bgColor theme="0" tint="-0.34998626667073579"/>
                </patternFill>
              </fill>
            </x14:dxf>
          </x14:cfRule>
          <xm:sqref>H21:H22</xm:sqref>
        </x14:conditionalFormatting>
        <x14:conditionalFormatting xmlns:xm="http://schemas.microsoft.com/office/excel/2006/main">
          <x14:cfRule type="expression" priority="53" id="{D873BA59-45AF-425F-9E4C-CE840C0255B2}">
            <xm:f>Informació!$D$25="No"</xm:f>
            <x14:dxf>
              <font>
                <color theme="0" tint="-0.34998626667073579"/>
              </font>
              <fill>
                <patternFill>
                  <bgColor theme="0" tint="-0.34998626667073579"/>
                </patternFill>
              </fill>
            </x14:dxf>
          </x14:cfRule>
          <xm:sqref>H18:H27</xm:sqref>
        </x14:conditionalFormatting>
        <x14:conditionalFormatting xmlns:xm="http://schemas.microsoft.com/office/excel/2006/main">
          <x14:cfRule type="expression" priority="46" id="{F636BED5-2439-45DB-B5BE-FDB4D473121A}">
            <xm:f>Informació!$D$17="No"</xm:f>
            <x14:dxf>
              <font>
                <color theme="0" tint="-0.34998626667073579"/>
              </font>
              <fill>
                <patternFill>
                  <bgColor theme="0" tint="-0.34998626667073579"/>
                </patternFill>
              </fill>
            </x14:dxf>
          </x14:cfRule>
          <xm:sqref>G31:G40</xm:sqref>
        </x14:conditionalFormatting>
        <x14:conditionalFormatting xmlns:xm="http://schemas.microsoft.com/office/excel/2006/main">
          <x14:cfRule type="expression" priority="39" id="{517D3244-8017-492C-9F99-C8E287B3A94C}">
            <xm:f>Informació!$D$17="No"</xm:f>
            <x14:dxf>
              <font>
                <color theme="0" tint="-0.34998626667073579"/>
              </font>
              <fill>
                <patternFill>
                  <bgColor theme="0" tint="-0.34998626667073579"/>
                </patternFill>
              </fill>
            </x14:dxf>
          </x14:cfRule>
          <xm:sqref>H31:H40</xm:sqref>
        </x14:conditionalFormatting>
        <x14:conditionalFormatting xmlns:xm="http://schemas.microsoft.com/office/excel/2006/main">
          <x14:cfRule type="expression" priority="37" id="{E9F7DB8F-5624-4B99-982F-37A841D0FEDF}">
            <xm:f>AND(Informació!$D$21="No",Informació!$D$22="No")</xm:f>
            <x14:dxf>
              <font>
                <color theme="0" tint="-0.34998626667073579"/>
              </font>
              <fill>
                <patternFill>
                  <bgColor theme="0" tint="-0.34998626667073579"/>
                </patternFill>
              </fill>
            </x14:dxf>
          </x14:cfRule>
          <xm:sqref>G53</xm:sqref>
        </x14:conditionalFormatting>
        <x14:conditionalFormatting xmlns:xm="http://schemas.microsoft.com/office/excel/2006/main">
          <x14:cfRule type="expression" priority="36" id="{7CF6AFC8-979E-41D9-A27E-21FAB709CF4E}">
            <xm:f>Informació!$D$18="No"</xm:f>
            <x14:dxf>
              <font>
                <color theme="0" tint="-0.34998626667073579"/>
              </font>
              <fill>
                <patternFill>
                  <bgColor theme="0" tint="-0.34998626667073579"/>
                </patternFill>
              </fill>
            </x14:dxf>
          </x14:cfRule>
          <xm:sqref>G49</xm:sqref>
        </x14:conditionalFormatting>
        <x14:conditionalFormatting xmlns:xm="http://schemas.microsoft.com/office/excel/2006/main">
          <x14:cfRule type="expression" priority="35" id="{58A3C0B3-4309-40CF-92ED-C17D88DE2231}">
            <xm:f>Informació!$D$20="No"</xm:f>
            <x14:dxf>
              <font>
                <color theme="0" tint="-0.34998626667073579"/>
              </font>
              <fill>
                <patternFill>
                  <bgColor theme="0" tint="-0.34998626667073579"/>
                </patternFill>
              </fill>
            </x14:dxf>
          </x14:cfRule>
          <xm:sqref>G52:G53</xm:sqref>
        </x14:conditionalFormatting>
        <x14:conditionalFormatting xmlns:xm="http://schemas.microsoft.com/office/excel/2006/main">
          <x14:cfRule type="expression" priority="38" id="{5816F1C4-D28F-46F4-BBB7-9334647C4F1F}">
            <xm:f>Informació!$D$19="No"</xm:f>
            <x14:dxf>
              <font>
                <color theme="0" tint="-0.34998626667073579"/>
              </font>
              <fill>
                <patternFill>
                  <bgColor theme="0" tint="-0.34998626667073579"/>
                </patternFill>
              </fill>
            </x14:dxf>
          </x14:cfRule>
          <xm:sqref>G44:G46</xm:sqref>
        </x14:conditionalFormatting>
        <x14:conditionalFormatting xmlns:xm="http://schemas.microsoft.com/office/excel/2006/main">
          <x14:cfRule type="expression" priority="24" id="{4C40D1A6-B8CF-48B6-9AE5-4FD59D152AAF}">
            <xm:f>Informació!$D$23="No"</xm:f>
            <x14:dxf>
              <font>
                <color theme="0" tint="-0.34998626667073579"/>
              </font>
              <fill>
                <patternFill>
                  <bgColor theme="0" tint="-0.34998626667073579"/>
                </patternFill>
              </fill>
            </x14:dxf>
          </x14:cfRule>
          <xm:sqref>G49:G53</xm:sqref>
        </x14:conditionalFormatting>
        <x14:conditionalFormatting xmlns:xm="http://schemas.microsoft.com/office/excel/2006/main">
          <x14:cfRule type="expression" priority="25" id="{31994305-419E-4885-8503-B0E96BB8287F}">
            <xm:f>AND(Informació!$D$21="No",Informació!$D$22="No")</xm:f>
            <x14:dxf>
              <font>
                <color theme="0" tint="-0.34998626667073579"/>
              </font>
              <fill>
                <patternFill>
                  <bgColor theme="0" tint="-0.34998626667073579"/>
                </patternFill>
              </fill>
            </x14:dxf>
          </x14:cfRule>
          <xm:sqref>G48</xm:sqref>
        </x14:conditionalFormatting>
        <x14:conditionalFormatting xmlns:xm="http://schemas.microsoft.com/office/excel/2006/main">
          <x14:cfRule type="expression" priority="31" id="{84128A67-AF1F-4FC8-A512-107BA48AFA79}">
            <xm:f>Informació!$D$18="No"</xm:f>
            <x14:dxf>
              <font>
                <color theme="0" tint="-0.34998626667073579"/>
              </font>
              <fill>
                <patternFill>
                  <bgColor theme="0" tint="-0.34998626667073579"/>
                </patternFill>
              </fill>
            </x14:dxf>
          </x14:cfRule>
          <xm:sqref>G44</xm:sqref>
        </x14:conditionalFormatting>
        <x14:conditionalFormatting xmlns:xm="http://schemas.microsoft.com/office/excel/2006/main">
          <x14:cfRule type="expression" priority="30" id="{1A16346E-5186-4C61-BE99-7754976EF6A5}">
            <xm:f>OR(AND(Informació!$D$21="No",Informació!$D$22="No"),Informació!$D$18="No")</xm:f>
            <x14:dxf>
              <font>
                <color theme="0" tint="-0.34998626667073579"/>
              </font>
              <fill>
                <patternFill>
                  <bgColor theme="0" tint="-0.34998626667073579"/>
                </patternFill>
              </fill>
            </x14:dxf>
          </x14:cfRule>
          <xm:sqref>G51</xm:sqref>
        </x14:conditionalFormatting>
        <x14:conditionalFormatting xmlns:xm="http://schemas.microsoft.com/office/excel/2006/main">
          <x14:cfRule type="expression" priority="29" id="{62692DC9-C1F3-4BB1-80C3-74132579FB5F}">
            <xm:f>AND(Informació!$D$21="No",Informació!$D$22="No")</xm:f>
            <x14:dxf>
              <font>
                <color theme="0" tint="-0.34998626667073579"/>
              </font>
              <fill>
                <patternFill>
                  <bgColor theme="0" tint="-0.34998626667073579"/>
                </patternFill>
              </fill>
            </x14:dxf>
          </x14:cfRule>
          <xm:sqref>G45</xm:sqref>
        </x14:conditionalFormatting>
        <x14:conditionalFormatting xmlns:xm="http://schemas.microsoft.com/office/excel/2006/main">
          <x14:cfRule type="expression" priority="22" id="{8518F7B1-2E13-48F0-8FF7-B396E8C8E20E}">
            <xm:f>OR(AND(Informació!$D$21="No",Informació!$D$22="No"),Informació!$D$18="No")</xm:f>
            <x14:dxf>
              <font>
                <color theme="0" tint="-0.34998626667073579"/>
              </font>
              <fill>
                <patternFill>
                  <bgColor theme="0" tint="-0.34998626667073579"/>
                </patternFill>
              </fill>
            </x14:dxf>
          </x14:cfRule>
          <xm:sqref>G46</xm:sqref>
        </x14:conditionalFormatting>
        <x14:conditionalFormatting xmlns:xm="http://schemas.microsoft.com/office/excel/2006/main">
          <x14:cfRule type="expression" priority="28" id="{FA4F6215-248D-4452-A7AE-8D2CDF860933}">
            <xm:f>Informació!$D$20="No"</xm:f>
            <x14:dxf>
              <font>
                <color theme="0" tint="-0.34998626667073579"/>
              </font>
              <fill>
                <patternFill>
                  <bgColor theme="0" tint="-0.34998626667073579"/>
                </patternFill>
              </fill>
            </x14:dxf>
          </x14:cfRule>
          <xm:sqref>G47</xm:sqref>
        </x14:conditionalFormatting>
        <x14:conditionalFormatting xmlns:xm="http://schemas.microsoft.com/office/excel/2006/main">
          <x14:cfRule type="expression" priority="27" id="{4AC77CDA-4685-4C1F-A7E9-CB499CD60A86}">
            <xm:f>Informació!$D$23="No"</xm:f>
            <x14:dxf>
              <font>
                <color theme="0" tint="-0.34998626667073579"/>
              </font>
              <fill>
                <patternFill>
                  <bgColor theme="0" tint="-0.34998626667073579"/>
                </patternFill>
              </fill>
            </x14:dxf>
          </x14:cfRule>
          <xm:sqref>G50</xm:sqref>
        </x14:conditionalFormatting>
        <x14:conditionalFormatting xmlns:xm="http://schemas.microsoft.com/office/excel/2006/main">
          <x14:cfRule type="expression" priority="26" id="{058A1F37-2063-457D-82B3-5C8367836FD0}">
            <xm:f>Informació!$D$23="No"</xm:f>
            <x14:dxf>
              <font>
                <color theme="0" tint="-0.34998626667073579"/>
              </font>
              <fill>
                <patternFill>
                  <bgColor theme="0" tint="-0.34998626667073579"/>
                </patternFill>
              </fill>
            </x14:dxf>
          </x14:cfRule>
          <xm:sqref>G51</xm:sqref>
        </x14:conditionalFormatting>
        <x14:conditionalFormatting xmlns:xm="http://schemas.microsoft.com/office/excel/2006/main">
          <x14:cfRule type="expression" priority="23" id="{E821A052-7EEB-47B8-B812-0836E5044825}">
            <xm:f>Informació!$D$23="No"</xm:f>
            <x14:dxf>
              <font>
                <color theme="0" tint="-0.34998626667073579"/>
              </font>
              <fill>
                <patternFill>
                  <bgColor theme="0" tint="-0.34998626667073579"/>
                </patternFill>
              </fill>
            </x14:dxf>
          </x14:cfRule>
          <xm:sqref>G52</xm:sqref>
        </x14:conditionalFormatting>
        <x14:conditionalFormatting xmlns:xm="http://schemas.microsoft.com/office/excel/2006/main">
          <x14:cfRule type="expression" priority="21" id="{839C9107-FDE6-4790-8328-D9519B342E12}">
            <xm:f>Informació!$D$23="No"</xm:f>
            <x14:dxf>
              <font>
                <color theme="0" tint="-0.34998626667073579"/>
              </font>
              <fill>
                <patternFill>
                  <bgColor theme="0" tint="-0.34998626667073579"/>
                </patternFill>
              </fill>
            </x14:dxf>
          </x14:cfRule>
          <xm:sqref>G53</xm:sqref>
        </x14:conditionalFormatting>
        <x14:conditionalFormatting xmlns:xm="http://schemas.microsoft.com/office/excel/2006/main">
          <x14:cfRule type="expression" priority="34" id="{27DB2224-33B4-4074-8E0C-12C6F85555DB}">
            <xm:f>Informació!$D$18="No"</xm:f>
            <x14:dxf>
              <font>
                <color theme="0" tint="-0.34998626667073579"/>
              </font>
              <fill>
                <patternFill>
                  <bgColor theme="0" tint="-0.34998626667073579"/>
                </patternFill>
              </fill>
            </x14:dxf>
          </x14:cfRule>
          <xm:sqref>G52</xm:sqref>
        </x14:conditionalFormatting>
        <x14:conditionalFormatting xmlns:xm="http://schemas.microsoft.com/office/excel/2006/main">
          <x14:cfRule type="expression" priority="33" id="{1AC62CC6-37B1-41F9-AC84-08ABE869BF2E}">
            <xm:f>Informació!$D$19="No"</xm:f>
            <x14:dxf>
              <font>
                <color theme="0" tint="-0.34998626667073579"/>
              </font>
              <fill>
                <patternFill>
                  <bgColor theme="0" tint="-0.34998626667073579"/>
                </patternFill>
              </fill>
            </x14:dxf>
          </x14:cfRule>
          <xm:sqref>G49:G51</xm:sqref>
        </x14:conditionalFormatting>
        <x14:conditionalFormatting xmlns:xm="http://schemas.microsoft.com/office/excel/2006/main">
          <x14:cfRule type="expression" priority="32" id="{DC744BCE-84DA-4537-99CA-C7B5CB6DEB16}">
            <xm:f>Informació!$D$20="No"</xm:f>
            <x14:dxf>
              <font>
                <color theme="0" tint="-0.34998626667073579"/>
              </font>
              <fill>
                <patternFill>
                  <bgColor theme="0" tint="-0.34998626667073579"/>
                </patternFill>
              </fill>
            </x14:dxf>
          </x14:cfRule>
          <xm:sqref>G47:G48</xm:sqref>
        </x14:conditionalFormatting>
        <x14:conditionalFormatting xmlns:xm="http://schemas.microsoft.com/office/excel/2006/main">
          <x14:cfRule type="expression" priority="18" id="{91C6E0DC-3BDB-4CC0-91DA-DBA0B8CDC2D4}">
            <xm:f>AND(Informació!$D$21="No",Informació!$D$22="No")</xm:f>
            <x14:dxf>
              <font>
                <color theme="0" tint="-0.34998626667073579"/>
              </font>
              <fill>
                <patternFill>
                  <bgColor theme="0" tint="-0.34998626667073579"/>
                </patternFill>
              </fill>
            </x14:dxf>
          </x14:cfRule>
          <xm:sqref>H53</xm:sqref>
        </x14:conditionalFormatting>
        <x14:conditionalFormatting xmlns:xm="http://schemas.microsoft.com/office/excel/2006/main">
          <x14:cfRule type="expression" priority="17" id="{F3ABA373-1FE0-43CA-B665-808C6EBCCEED}">
            <xm:f>Informació!$D$18="No"</xm:f>
            <x14:dxf>
              <font>
                <color theme="0" tint="-0.34998626667073579"/>
              </font>
              <fill>
                <patternFill>
                  <bgColor theme="0" tint="-0.34998626667073579"/>
                </patternFill>
              </fill>
            </x14:dxf>
          </x14:cfRule>
          <xm:sqref>H49</xm:sqref>
        </x14:conditionalFormatting>
        <x14:conditionalFormatting xmlns:xm="http://schemas.microsoft.com/office/excel/2006/main">
          <x14:cfRule type="expression" priority="16" id="{7C32116A-A20C-4849-A87A-2D2250E5D243}">
            <xm:f>Informació!$D$20="No"</xm:f>
            <x14:dxf>
              <font>
                <color theme="0" tint="-0.34998626667073579"/>
              </font>
              <fill>
                <patternFill>
                  <bgColor theme="0" tint="-0.34998626667073579"/>
                </patternFill>
              </fill>
            </x14:dxf>
          </x14:cfRule>
          <xm:sqref>H52:H53</xm:sqref>
        </x14:conditionalFormatting>
        <x14:conditionalFormatting xmlns:xm="http://schemas.microsoft.com/office/excel/2006/main">
          <x14:cfRule type="expression" priority="19" id="{8BFF3B6A-4098-4A3E-B8BC-7E2A71F57B96}">
            <xm:f>Informació!$D$19="No"</xm:f>
            <x14:dxf>
              <font>
                <color theme="0" tint="-0.34998626667073579"/>
              </font>
              <fill>
                <patternFill>
                  <bgColor theme="0" tint="-0.34998626667073579"/>
                </patternFill>
              </fill>
            </x14:dxf>
          </x14:cfRule>
          <xm:sqref>H44:H46</xm:sqref>
        </x14:conditionalFormatting>
        <x14:conditionalFormatting xmlns:xm="http://schemas.microsoft.com/office/excel/2006/main">
          <x14:cfRule type="expression" priority="5" id="{1D55F723-859C-4A90-8848-7528B688C312}">
            <xm:f>Informació!$D$23="No"</xm:f>
            <x14:dxf>
              <font>
                <color theme="0" tint="-0.34998626667073579"/>
              </font>
              <fill>
                <patternFill>
                  <bgColor theme="0" tint="-0.34998626667073579"/>
                </patternFill>
              </fill>
            </x14:dxf>
          </x14:cfRule>
          <xm:sqref>H49:H53</xm:sqref>
        </x14:conditionalFormatting>
        <x14:conditionalFormatting xmlns:xm="http://schemas.microsoft.com/office/excel/2006/main">
          <x14:cfRule type="expression" priority="6" id="{E0DCD7FC-88A9-416C-97B9-A7067A715EE4}">
            <xm:f>AND(Informació!$D$21="No",Informació!$D$22="No")</xm:f>
            <x14:dxf>
              <font>
                <color theme="0" tint="-0.34998626667073579"/>
              </font>
              <fill>
                <patternFill>
                  <bgColor theme="0" tint="-0.34998626667073579"/>
                </patternFill>
              </fill>
            </x14:dxf>
          </x14:cfRule>
          <xm:sqref>H48</xm:sqref>
        </x14:conditionalFormatting>
        <x14:conditionalFormatting xmlns:xm="http://schemas.microsoft.com/office/excel/2006/main">
          <x14:cfRule type="expression" priority="12" id="{68281A00-71E4-4171-9DE5-280C8EEC16E0}">
            <xm:f>Informació!$D$18="No"</xm:f>
            <x14:dxf>
              <font>
                <color theme="0" tint="-0.34998626667073579"/>
              </font>
              <fill>
                <patternFill>
                  <bgColor theme="0" tint="-0.34998626667073579"/>
                </patternFill>
              </fill>
            </x14:dxf>
          </x14:cfRule>
          <xm:sqref>H44</xm:sqref>
        </x14:conditionalFormatting>
        <x14:conditionalFormatting xmlns:xm="http://schemas.microsoft.com/office/excel/2006/main">
          <x14:cfRule type="expression" priority="11" id="{C6F378FE-DA19-49BB-964B-C229B4520B45}">
            <xm:f>OR(AND(Informació!$D$21="No",Informació!$D$22="No"),Informació!$D$18="No")</xm:f>
            <x14:dxf>
              <font>
                <color theme="0" tint="-0.34998626667073579"/>
              </font>
              <fill>
                <patternFill>
                  <bgColor theme="0" tint="-0.34998626667073579"/>
                </patternFill>
              </fill>
            </x14:dxf>
          </x14:cfRule>
          <xm:sqref>H51</xm:sqref>
        </x14:conditionalFormatting>
        <x14:conditionalFormatting xmlns:xm="http://schemas.microsoft.com/office/excel/2006/main">
          <x14:cfRule type="expression" priority="10" id="{1929F766-3167-40DF-84F9-6D0C2F3A371C}">
            <xm:f>AND(Informació!$D$21="No",Informació!$D$22="No")</xm:f>
            <x14:dxf>
              <font>
                <color theme="0" tint="-0.34998626667073579"/>
              </font>
              <fill>
                <patternFill>
                  <bgColor theme="0" tint="-0.34998626667073579"/>
                </patternFill>
              </fill>
            </x14:dxf>
          </x14:cfRule>
          <xm:sqref>H45</xm:sqref>
        </x14:conditionalFormatting>
        <x14:conditionalFormatting xmlns:xm="http://schemas.microsoft.com/office/excel/2006/main">
          <x14:cfRule type="expression" priority="3" id="{1E245202-98E5-434D-83D6-FDD8F344E218}">
            <xm:f>OR(AND(Informació!$D$21="No",Informació!$D$22="No"),Informació!$D$18="No")</xm:f>
            <x14:dxf>
              <font>
                <color theme="0" tint="-0.34998626667073579"/>
              </font>
              <fill>
                <patternFill>
                  <bgColor theme="0" tint="-0.34998626667073579"/>
                </patternFill>
              </fill>
            </x14:dxf>
          </x14:cfRule>
          <xm:sqref>H46</xm:sqref>
        </x14:conditionalFormatting>
        <x14:conditionalFormatting xmlns:xm="http://schemas.microsoft.com/office/excel/2006/main">
          <x14:cfRule type="expression" priority="9" id="{1AB0EA01-D240-4B1F-ABC9-41ED18F7C201}">
            <xm:f>Informació!$D$20="No"</xm:f>
            <x14:dxf>
              <font>
                <color theme="0" tint="-0.34998626667073579"/>
              </font>
              <fill>
                <patternFill>
                  <bgColor theme="0" tint="-0.34998626667073579"/>
                </patternFill>
              </fill>
            </x14:dxf>
          </x14:cfRule>
          <xm:sqref>H47</xm:sqref>
        </x14:conditionalFormatting>
        <x14:conditionalFormatting xmlns:xm="http://schemas.microsoft.com/office/excel/2006/main">
          <x14:cfRule type="expression" priority="8" id="{795B7491-85AD-4043-A354-CBBE09D133CD}">
            <xm:f>Informació!$D$23="No"</xm:f>
            <x14:dxf>
              <font>
                <color theme="0" tint="-0.34998626667073579"/>
              </font>
              <fill>
                <patternFill>
                  <bgColor theme="0" tint="-0.34998626667073579"/>
                </patternFill>
              </fill>
            </x14:dxf>
          </x14:cfRule>
          <xm:sqref>H50</xm:sqref>
        </x14:conditionalFormatting>
        <x14:conditionalFormatting xmlns:xm="http://schemas.microsoft.com/office/excel/2006/main">
          <x14:cfRule type="expression" priority="7" id="{CF63CA86-246C-4424-BC67-9D81B18E87B4}">
            <xm:f>Informació!$D$23="No"</xm:f>
            <x14:dxf>
              <font>
                <color theme="0" tint="-0.34998626667073579"/>
              </font>
              <fill>
                <patternFill>
                  <bgColor theme="0" tint="-0.34998626667073579"/>
                </patternFill>
              </fill>
            </x14:dxf>
          </x14:cfRule>
          <xm:sqref>H51</xm:sqref>
        </x14:conditionalFormatting>
        <x14:conditionalFormatting xmlns:xm="http://schemas.microsoft.com/office/excel/2006/main">
          <x14:cfRule type="expression" priority="4" id="{382BC598-2DFE-4FC4-A88D-27660A96585D}">
            <xm:f>Informació!$D$23="No"</xm:f>
            <x14:dxf>
              <font>
                <color theme="0" tint="-0.34998626667073579"/>
              </font>
              <fill>
                <patternFill>
                  <bgColor theme="0" tint="-0.34998626667073579"/>
                </patternFill>
              </fill>
            </x14:dxf>
          </x14:cfRule>
          <xm:sqref>H52</xm:sqref>
        </x14:conditionalFormatting>
        <x14:conditionalFormatting xmlns:xm="http://schemas.microsoft.com/office/excel/2006/main">
          <x14:cfRule type="expression" priority="2" id="{B2F50CF6-7139-41BC-8ABB-F992727F7FA6}">
            <xm:f>Informació!$D$23="No"</xm:f>
            <x14:dxf>
              <font>
                <color theme="0" tint="-0.34998626667073579"/>
              </font>
              <fill>
                <patternFill>
                  <bgColor theme="0" tint="-0.34998626667073579"/>
                </patternFill>
              </fill>
            </x14:dxf>
          </x14:cfRule>
          <xm:sqref>H53</xm:sqref>
        </x14:conditionalFormatting>
        <x14:conditionalFormatting xmlns:xm="http://schemas.microsoft.com/office/excel/2006/main">
          <x14:cfRule type="expression" priority="15" id="{308B6908-D2EC-4587-8401-2EF89D9FD643}">
            <xm:f>Informació!$D$18="No"</xm:f>
            <x14:dxf>
              <font>
                <color theme="0" tint="-0.34998626667073579"/>
              </font>
              <fill>
                <patternFill>
                  <bgColor theme="0" tint="-0.34998626667073579"/>
                </patternFill>
              </fill>
            </x14:dxf>
          </x14:cfRule>
          <xm:sqref>H52</xm:sqref>
        </x14:conditionalFormatting>
        <x14:conditionalFormatting xmlns:xm="http://schemas.microsoft.com/office/excel/2006/main">
          <x14:cfRule type="expression" priority="14" id="{DFB70434-8AAE-4502-8EDE-DDA6404B223F}">
            <xm:f>Informació!$D$19="No"</xm:f>
            <x14:dxf>
              <font>
                <color theme="0" tint="-0.34998626667073579"/>
              </font>
              <fill>
                <patternFill>
                  <bgColor theme="0" tint="-0.34998626667073579"/>
                </patternFill>
              </fill>
            </x14:dxf>
          </x14:cfRule>
          <xm:sqref>H49:H51</xm:sqref>
        </x14:conditionalFormatting>
        <x14:conditionalFormatting xmlns:xm="http://schemas.microsoft.com/office/excel/2006/main">
          <x14:cfRule type="expression" priority="13" id="{5DC03F9C-A1F3-40AA-84A9-D457D9FCDA34}">
            <xm:f>Informació!$D$20="No"</xm:f>
            <x14:dxf>
              <font>
                <color theme="0" tint="-0.34998626667073579"/>
              </font>
              <fill>
                <patternFill>
                  <bgColor theme="0" tint="-0.34998626667073579"/>
                </patternFill>
              </fill>
            </x14:dxf>
          </x14:cfRule>
          <xm:sqref>H47:H48</xm:sqref>
        </x14:conditionalFormatting>
        <x14:conditionalFormatting xmlns:xm="http://schemas.microsoft.com/office/excel/2006/main">
          <x14:cfRule type="expression" priority="213" id="{4CFBEE0B-B467-4AF0-BF32-04DA12226E6A}">
            <xm:f>AND(Informació!$D$41="No",Informació!$D$23="No")</xm:f>
            <x14:dxf>
              <font>
                <color theme="0" tint="-0.34998626667073579"/>
              </font>
              <fill>
                <patternFill>
                  <bgColor theme="0" tint="-0.34998626667073579"/>
                </patternFill>
              </fill>
            </x14:dxf>
          </x14:cfRule>
          <x14:cfRule type="expression" priority="214" id="{FF33F957-59DB-4E61-A63E-EE852F94779A}">
            <xm:f>AND(Informació!$D$23="No",Informació!$D$41="No")</xm:f>
            <x14:dxf>
              <font>
                <color theme="0" tint="-0.34998626667073579"/>
              </font>
              <fill>
                <patternFill>
                  <bgColor theme="0" tint="-0.34998626667073579"/>
                </patternFill>
              </fill>
            </x14:dxf>
          </x14:cfRule>
          <xm:sqref>D36:H40</xm:sqref>
        </x14:conditionalFormatting>
        <x14:conditionalFormatting xmlns:xm="http://schemas.microsoft.com/office/excel/2006/main">
          <x14:cfRule type="expression" priority="215" id="{0F08CAF0-EA35-4CF1-AC37-61F7AC76C24D}">
            <xm:f>AND(Informació!$D$18="No",Informació!$D$36="No")</xm:f>
            <x14:dxf>
              <font>
                <color theme="0" tint="-0.34998626667073579"/>
              </font>
              <fill>
                <patternFill>
                  <bgColor theme="0" tint="-0.34998626667073579"/>
                </patternFill>
              </fill>
            </x14:dxf>
          </x14:cfRule>
          <xm:sqref>D32:D40 D33:H34 D36:H36 D38:H39 D31:H31</xm:sqref>
        </x14:conditionalFormatting>
        <x14:conditionalFormatting xmlns:xm="http://schemas.microsoft.com/office/excel/2006/main">
          <x14:cfRule type="expression" priority="220" id="{21D46998-36DB-4286-86D5-A81595A6E0A8}">
            <xm:f>AND(Informació!$D$19="No",Informació!$D$37="No")</xm:f>
            <x14:dxf>
              <font>
                <color theme="0" tint="-0.34998626667073579"/>
              </font>
              <fill>
                <patternFill>
                  <bgColor theme="0" tint="-0.34998626667073579"/>
                </patternFill>
              </fill>
            </x14:dxf>
          </x14:cfRule>
          <xm:sqref>D32:D40 D36:H38 D31:H33</xm:sqref>
        </x14:conditionalFormatting>
        <x14:conditionalFormatting xmlns:xm="http://schemas.microsoft.com/office/excel/2006/main">
          <x14:cfRule type="expression" priority="223" id="{E1F391CA-E4BD-484F-BEBB-FF066E50BB53}">
            <xm:f>AND(Informació!$D$38="No",Informació!$D$20="No")</xm:f>
            <x14:dxf>
              <font>
                <color theme="0" tint="-0.34998626667073579"/>
              </font>
              <fill>
                <patternFill>
                  <bgColor theme="0" tint="-0.34998626667073579"/>
                </patternFill>
              </fill>
            </x14:dxf>
          </x14:cfRule>
          <xm:sqref>D39:H40 D34:H35</xm:sqref>
        </x14:conditionalFormatting>
        <x14:conditionalFormatting xmlns:xm="http://schemas.microsoft.com/office/excel/2006/main">
          <x14:cfRule type="expression" priority="225" id="{902E9441-6F0D-4853-81A7-ED9983C37C44}">
            <xm:f>AND(Informació!$D$21="No",Informació!$D$39="No")</xm:f>
            <x14:dxf>
              <font>
                <color theme="0" tint="-0.34998626667073579"/>
              </font>
              <fill>
                <patternFill>
                  <bgColor theme="0" tint="-0.34998626667073579"/>
                </patternFill>
              </fill>
            </x14:dxf>
          </x14:cfRule>
          <xm:sqref>D32:H33 D37:H38 D40:H40 D35:H35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53"/>
  <sheetViews>
    <sheetView workbookViewId="0">
      <selection activeCell="B9" sqref="B9"/>
    </sheetView>
  </sheetViews>
  <sheetFormatPr baseColWidth="10" defaultColWidth="11.140625" defaultRowHeight="15" x14ac:dyDescent="0.25"/>
  <cols>
    <col min="1" max="1" width="11.42578125" style="1"/>
    <col min="2" max="2" width="13.7109375" customWidth="1"/>
    <col min="3" max="3" width="33" customWidth="1"/>
    <col min="4" max="4" width="34.5703125" customWidth="1"/>
    <col min="5" max="5" width="29.7109375" customWidth="1"/>
    <col min="6" max="16" width="11.42578125" style="1"/>
  </cols>
  <sheetData>
    <row r="1" spans="2:5" x14ac:dyDescent="0.25">
      <c r="B1" s="1"/>
      <c r="C1" s="1"/>
      <c r="D1" s="124" t="s">
        <v>899</v>
      </c>
      <c r="E1" s="1" t="s">
        <v>863</v>
      </c>
    </row>
    <row r="2" spans="2:5" x14ac:dyDescent="0.25">
      <c r="B2" s="1"/>
      <c r="C2" s="1"/>
      <c r="D2" s="162"/>
      <c r="E2" s="1"/>
    </row>
    <row r="3" spans="2:5" s="1" customFormat="1" ht="30" customHeight="1" x14ac:dyDescent="0.25">
      <c r="D3" s="162"/>
    </row>
    <row r="4" spans="2:5" ht="42.75" customHeight="1" thickBot="1" x14ac:dyDescent="0.3">
      <c r="B4" s="196" t="s">
        <v>835</v>
      </c>
      <c r="C4" s="196"/>
      <c r="D4" s="196"/>
      <c r="E4" s="196"/>
    </row>
    <row r="5" spans="2:5" ht="21" x14ac:dyDescent="0.35">
      <c r="B5" s="102" t="s">
        <v>846</v>
      </c>
      <c r="C5" s="1"/>
      <c r="D5" s="1"/>
      <c r="E5" s="1"/>
    </row>
    <row r="6" spans="2:5" ht="72" customHeight="1" x14ac:dyDescent="0.25">
      <c r="B6" s="197" t="s">
        <v>861</v>
      </c>
      <c r="C6" s="197"/>
      <c r="D6" s="197"/>
      <c r="E6" s="197"/>
    </row>
    <row r="7" spans="2:5" ht="22.5" customHeight="1" x14ac:dyDescent="0.25">
      <c r="B7" s="198" t="s">
        <v>848</v>
      </c>
      <c r="C7" s="198"/>
      <c r="D7" s="198"/>
      <c r="E7" s="198"/>
    </row>
    <row r="8" spans="2:5" ht="30" x14ac:dyDescent="0.25">
      <c r="B8" s="113" t="s">
        <v>847</v>
      </c>
      <c r="C8" s="149" t="str">
        <f>IF(OR(B8="Introduir codi del criteri",B8=""),"",VLOOKUP(B8,Informació!$B$17:$C$25,2,FALSE))</f>
        <v/>
      </c>
      <c r="D8" s="159" t="str">
        <f>IF(OR(B8="Introduir codi del criteri",B8=""),"",VLOOKUP(B8,Informació!$B$17:$E$25,4,FALSE))</f>
        <v/>
      </c>
      <c r="E8" s="106"/>
    </row>
    <row r="9" spans="2:5" ht="30" x14ac:dyDescent="0.25">
      <c r="B9" s="113" t="s">
        <v>847</v>
      </c>
      <c r="C9" s="150" t="str">
        <f>IF(OR(B9="Introduir codi del criteri",B9=""),"",VLOOKUP(B9,Informació!$B$17:$C$25,2,FALSE))</f>
        <v/>
      </c>
      <c r="D9" s="159" t="str">
        <f>IF(OR(B9="Introduir codi del criteri",B9=""),"",VLOOKUP(B9,Informació!$B$17:$E$25,4,FALSE))</f>
        <v/>
      </c>
      <c r="E9" s="106"/>
    </row>
    <row r="10" spans="2:5" ht="30" x14ac:dyDescent="0.25">
      <c r="B10" s="113" t="s">
        <v>847</v>
      </c>
      <c r="C10" s="150" t="str">
        <f>IF(OR(B10="Introduir codi del criteri",B10=""),"",VLOOKUP(B10,Informació!$B$17:$C$25,2,FALSE))</f>
        <v/>
      </c>
      <c r="D10" s="159" t="str">
        <f>IF(OR(B10="Introduir codi del criteri",B10=""),"",VLOOKUP(B10,Informació!$B$17:$E$25,4,FALSE))</f>
        <v/>
      </c>
      <c r="E10" s="106"/>
    </row>
    <row r="11" spans="2:5" ht="30" x14ac:dyDescent="0.25">
      <c r="B11" s="113" t="s">
        <v>847</v>
      </c>
      <c r="C11" s="150" t="str">
        <f>IF(OR(B11="Introduir codi del criteri",B11=""),"",VLOOKUP(B11,Informació!$B$17:$C$25,2,FALSE))</f>
        <v/>
      </c>
      <c r="D11" s="159" t="str">
        <f>IF(OR(B11="Introduir codi del criteri",B11=""),"",VLOOKUP(B11,Informació!$B$17:$E$25,4,FALSE))</f>
        <v/>
      </c>
      <c r="E11" s="106"/>
    </row>
    <row r="12" spans="2:5" ht="34.5" customHeight="1" x14ac:dyDescent="0.25">
      <c r="B12" s="192" t="s">
        <v>857</v>
      </c>
      <c r="C12" s="193"/>
      <c r="D12" s="194">
        <f>Informació!D9+Informació!D10+Informació!D11</f>
        <v>70</v>
      </c>
      <c r="E12" s="195"/>
    </row>
    <row r="13" spans="2:5" x14ac:dyDescent="0.25">
      <c r="B13" s="103"/>
      <c r="C13" s="1"/>
      <c r="D13" s="1"/>
      <c r="E13" s="1"/>
    </row>
    <row r="14" spans="2:5" ht="15.75" x14ac:dyDescent="0.25">
      <c r="B14" s="199" t="s">
        <v>849</v>
      </c>
      <c r="C14" s="199"/>
      <c r="D14" s="199"/>
      <c r="E14" s="199"/>
    </row>
    <row r="15" spans="2:5" ht="30" x14ac:dyDescent="0.25">
      <c r="B15" s="112" t="s">
        <v>847</v>
      </c>
      <c r="C15" s="151" t="str">
        <f>IF(OR(B15="Introduir codi del criteri",B15=""),"",VLOOKUP(B15,Informació!$B$35:$C$41,2,FALSE))</f>
        <v/>
      </c>
      <c r="D15" s="160" t="str">
        <f>IF(OR(B15="Introduir codi del criteri",B15=""),"",VLOOKUP(B15,Informació!$B$35:$E$41,4,FALSE))</f>
        <v/>
      </c>
      <c r="E15" s="107"/>
    </row>
    <row r="16" spans="2:5" ht="30" x14ac:dyDescent="0.25">
      <c r="B16" s="112" t="s">
        <v>847</v>
      </c>
      <c r="C16" s="152" t="str">
        <f>IF(OR(B16="Introduir codi del criteri",B16=""),"",VLOOKUP(B16,Informació!$B$35:$C$41,2,FALSE))</f>
        <v/>
      </c>
      <c r="D16" s="160" t="str">
        <f>IF(OR(B16="Introduir codi del criteri",B16=""),"",VLOOKUP(B16,Informació!$B$35:$E$41,4,FALSE))</f>
        <v/>
      </c>
      <c r="E16" s="107"/>
    </row>
    <row r="17" spans="2:5" ht="30" x14ac:dyDescent="0.25">
      <c r="B17" s="112" t="s">
        <v>847</v>
      </c>
      <c r="C17" s="152" t="str">
        <f>IF(OR(B17="Introduir codi del criteri",B17=""),"",VLOOKUP(B17,Informació!$B$35:$C$41,2,FALSE))</f>
        <v/>
      </c>
      <c r="D17" s="160" t="str">
        <f>IF(OR(B17="Introduir codi del criteri",B17=""),"",VLOOKUP(B17,Informació!$B$35:$E$41,4,FALSE))</f>
        <v/>
      </c>
      <c r="E17" s="107"/>
    </row>
    <row r="18" spans="2:5" ht="30" x14ac:dyDescent="0.25">
      <c r="B18" s="112" t="s">
        <v>847</v>
      </c>
      <c r="C18" s="152" t="str">
        <f>IF(OR(B18="Introduir codi del criteri",B18=""),"",VLOOKUP(B18,Informació!$B$35:$C$41,2,FALSE))</f>
        <v/>
      </c>
      <c r="D18" s="160" t="str">
        <f>IF(OR(B18="Introduir codi del criteri",B18=""),"",VLOOKUP(B18,Informació!$B$35:$E$41,4,FALSE))</f>
        <v/>
      </c>
      <c r="E18" s="107"/>
    </row>
    <row r="19" spans="2:5" ht="34.5" customHeight="1" x14ac:dyDescent="0.25">
      <c r="B19" s="192" t="s">
        <v>856</v>
      </c>
      <c r="C19" s="193"/>
      <c r="D19" s="194">
        <f>Informació!D10</f>
        <v>10</v>
      </c>
      <c r="E19" s="195"/>
    </row>
    <row r="20" spans="2:5" x14ac:dyDescent="0.25">
      <c r="B20" s="1"/>
      <c r="C20" s="1"/>
      <c r="D20" s="1"/>
      <c r="E20" s="1"/>
    </row>
    <row r="21" spans="2:5" ht="15.75" x14ac:dyDescent="0.25">
      <c r="B21" s="200" t="s">
        <v>850</v>
      </c>
      <c r="C21" s="200"/>
      <c r="D21" s="200"/>
      <c r="E21" s="200"/>
    </row>
    <row r="22" spans="2:5" ht="30" x14ac:dyDescent="0.25">
      <c r="B22" s="111" t="s">
        <v>847</v>
      </c>
      <c r="C22" s="153" t="str">
        <f>IF(OR(B22="Introduir codi del criteri",B22=""),"",VLOOKUP(B22,Informació!$B$29:$C$31,2,FALSE))</f>
        <v/>
      </c>
      <c r="D22" s="161" t="str">
        <f>IF(OR(B22="Introduir codi del criteri",B22=""),"",VLOOKUP(B22,Informació!$B$29:$E$31,4,FALSE))</f>
        <v/>
      </c>
      <c r="E22" s="108"/>
    </row>
    <row r="23" spans="2:5" ht="30" x14ac:dyDescent="0.25">
      <c r="B23" s="111" t="s">
        <v>847</v>
      </c>
      <c r="C23" s="154" t="str">
        <f>IF(OR(B23="Introduir codi del criteri",B23=""),"",VLOOKUP(B23,Informació!$B$29:$C$31,2,FALSE))</f>
        <v/>
      </c>
      <c r="D23" s="161" t="str">
        <f>IF(OR(B23="Introduir codi del criteri",B23=""),"",VLOOKUP(B23,Informació!$B$29:$E$31,4,FALSE))</f>
        <v/>
      </c>
      <c r="E23" s="108"/>
    </row>
    <row r="24" spans="2:5" ht="30" x14ac:dyDescent="0.25">
      <c r="B24" s="111" t="s">
        <v>847</v>
      </c>
      <c r="C24" s="154" t="str">
        <f>IF(OR(B24="Introduir codi del criteri",B24=""),"",VLOOKUP(B24,Informació!$B$29:$C$31,2,FALSE))</f>
        <v/>
      </c>
      <c r="D24" s="161" t="str">
        <f>IF(OR(B24="Introduir codi del criteri",B24=""),"",VLOOKUP(B24,Informació!$B$29:$E$31,4,FALSE))</f>
        <v/>
      </c>
      <c r="E24" s="108"/>
    </row>
    <row r="25" spans="2:5" ht="38.25" customHeight="1" x14ac:dyDescent="0.25">
      <c r="B25" s="190" t="s">
        <v>855</v>
      </c>
      <c r="C25" s="191"/>
      <c r="D25" s="109"/>
      <c r="E25" s="109"/>
    </row>
    <row r="26" spans="2:5" x14ac:dyDescent="0.25">
      <c r="B26" s="103"/>
      <c r="C26" s="1"/>
      <c r="D26" s="1"/>
      <c r="E26" s="1"/>
    </row>
    <row r="27" spans="2:5" ht="15.75" x14ac:dyDescent="0.25">
      <c r="B27" s="189" t="s">
        <v>851</v>
      </c>
      <c r="C27" s="189"/>
      <c r="D27" s="189"/>
      <c r="E27" s="189"/>
    </row>
    <row r="28" spans="2:5" ht="15.75" x14ac:dyDescent="0.25">
      <c r="B28" s="104"/>
      <c r="C28" s="105"/>
      <c r="D28" s="105"/>
      <c r="E28" s="104"/>
    </row>
    <row r="29" spans="2:5" ht="45" x14ac:dyDescent="0.25">
      <c r="B29" s="1"/>
      <c r="C29" s="101" t="s">
        <v>61</v>
      </c>
      <c r="D29" s="110" t="s">
        <v>852</v>
      </c>
      <c r="E29" s="1"/>
    </row>
    <row r="30" spans="2:5" ht="45" x14ac:dyDescent="0.25">
      <c r="B30" s="1"/>
      <c r="C30" s="101" t="s">
        <v>62</v>
      </c>
      <c r="D30" s="110" t="s">
        <v>853</v>
      </c>
      <c r="E30" s="1"/>
    </row>
    <row r="31" spans="2:5" ht="45" x14ac:dyDescent="0.25">
      <c r="B31" s="1"/>
      <c r="C31" s="101" t="s">
        <v>16</v>
      </c>
      <c r="D31" s="110" t="s">
        <v>854</v>
      </c>
      <c r="E31" s="1"/>
    </row>
    <row r="32" spans="2:5" x14ac:dyDescent="0.25">
      <c r="B32" s="1"/>
      <c r="C32" s="1"/>
      <c r="D32" s="1"/>
      <c r="E32" s="1"/>
    </row>
    <row r="33" spans="2:5" x14ac:dyDescent="0.25">
      <c r="B33" s="1"/>
      <c r="C33" s="1"/>
      <c r="D33" s="1"/>
      <c r="E33" s="1"/>
    </row>
    <row r="34" spans="2:5" x14ac:dyDescent="0.25">
      <c r="B34" s="1"/>
      <c r="C34" s="1"/>
      <c r="D34" s="1"/>
      <c r="E34" s="1"/>
    </row>
    <row r="35" spans="2:5" x14ac:dyDescent="0.25">
      <c r="B35" s="1"/>
      <c r="C35" s="1"/>
      <c r="D35" s="1"/>
      <c r="E35" s="1"/>
    </row>
    <row r="36" spans="2:5" x14ac:dyDescent="0.25">
      <c r="B36" s="1"/>
      <c r="C36" s="1"/>
      <c r="D36" s="1"/>
      <c r="E36" s="1"/>
    </row>
    <row r="37" spans="2:5" x14ac:dyDescent="0.25">
      <c r="B37" s="1"/>
      <c r="C37" s="1"/>
      <c r="D37" s="1"/>
      <c r="E37" s="1"/>
    </row>
    <row r="38" spans="2:5" x14ac:dyDescent="0.25">
      <c r="B38" s="1"/>
      <c r="C38" s="1"/>
      <c r="D38" s="1"/>
      <c r="E38" s="1"/>
    </row>
    <row r="39" spans="2:5" x14ac:dyDescent="0.25">
      <c r="B39" s="1"/>
      <c r="C39" s="1"/>
      <c r="D39" s="1"/>
      <c r="E39" s="1"/>
    </row>
    <row r="40" spans="2:5" x14ac:dyDescent="0.25">
      <c r="B40" s="1"/>
      <c r="C40" s="1"/>
      <c r="D40" s="1"/>
      <c r="E40" s="1"/>
    </row>
    <row r="41" spans="2:5" x14ac:dyDescent="0.25">
      <c r="C41" s="1"/>
      <c r="D41" s="1"/>
      <c r="E41" s="1"/>
    </row>
    <row r="42" spans="2:5" x14ac:dyDescent="0.25">
      <c r="B42" s="1"/>
      <c r="C42" s="1"/>
      <c r="D42" s="1"/>
      <c r="E42" s="1"/>
    </row>
    <row r="43" spans="2:5" x14ac:dyDescent="0.25">
      <c r="B43" s="1"/>
      <c r="C43" s="1"/>
      <c r="D43" s="1"/>
      <c r="E43" s="1"/>
    </row>
    <row r="44" spans="2:5" x14ac:dyDescent="0.25">
      <c r="B44" s="1"/>
      <c r="C44" s="1"/>
      <c r="D44" s="1"/>
      <c r="E44" s="1"/>
    </row>
    <row r="45" spans="2:5" x14ac:dyDescent="0.25">
      <c r="B45" s="1"/>
      <c r="C45" s="1"/>
      <c r="D45" s="1"/>
      <c r="E45" s="1"/>
    </row>
    <row r="46" spans="2:5" x14ac:dyDescent="0.25">
      <c r="B46" s="1"/>
      <c r="C46" s="1"/>
      <c r="D46" s="1"/>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row r="51" spans="2:5" x14ac:dyDescent="0.25">
      <c r="B51" s="1"/>
      <c r="C51" s="1"/>
      <c r="D51" s="1"/>
      <c r="E51" s="1"/>
    </row>
    <row r="52" spans="2:5" x14ac:dyDescent="0.25">
      <c r="B52" s="1"/>
      <c r="C52" s="1"/>
      <c r="D52" s="1"/>
      <c r="E52" s="1"/>
    </row>
    <row r="53" spans="2:5" x14ac:dyDescent="0.25">
      <c r="B53" s="1"/>
      <c r="C53" s="1"/>
      <c r="D53" s="1"/>
      <c r="E53" s="1"/>
    </row>
  </sheetData>
  <sheetProtection sheet="1" objects="1" scenarios="1"/>
  <mergeCells count="11">
    <mergeCell ref="B4:E4"/>
    <mergeCell ref="B6:E6"/>
    <mergeCell ref="B7:E7"/>
    <mergeCell ref="B14:E14"/>
    <mergeCell ref="B21:E21"/>
    <mergeCell ref="B27:E27"/>
    <mergeCell ref="B25:C25"/>
    <mergeCell ref="B19:C19"/>
    <mergeCell ref="D19:E19"/>
    <mergeCell ref="B12:C12"/>
    <mergeCell ref="D12:E12"/>
  </mergeCells>
  <dataValidations count="4">
    <dataValidation type="list" allowBlank="1" showInputMessage="1" showErrorMessage="1" sqref="D25:E25">
      <formula1>"Famílies Nombroses,Usuaris Vulnerables,Circumstàncies Especials o Discapacitat"</formula1>
    </dataValidation>
    <dataValidation type="list" allowBlank="1" showInputMessage="1" showErrorMessage="1" sqref="B8:B11">
      <formula1>"C2,C3,C4,C5,C6,C7,C8"</formula1>
    </dataValidation>
    <dataValidation type="list" allowBlank="1" showInputMessage="1" showErrorMessage="1" sqref="B15:B18">
      <formula1>"CAC2,CAC3,CAC4,CAC5,CAC6"</formula1>
    </dataValidation>
    <dataValidation type="list" allowBlank="1" showInputMessage="1" showErrorMessage="1" sqref="B22:B24">
      <formula1>"CF1,CF2,CF3"</formula1>
    </dataValidation>
  </dataValidations>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workbookViewId="0">
      <selection activeCell="D14" sqref="D14"/>
    </sheetView>
  </sheetViews>
  <sheetFormatPr baseColWidth="10" defaultColWidth="11.140625" defaultRowHeight="15" x14ac:dyDescent="0.25"/>
  <cols>
    <col min="2" max="2" width="66.85546875" customWidth="1"/>
    <col min="3" max="3" width="30" customWidth="1"/>
    <col min="4" max="4" width="132.85546875" customWidth="1"/>
  </cols>
  <sheetData>
    <row r="2" spans="2:4" ht="18.75" x14ac:dyDescent="0.25">
      <c r="C2" s="17" t="s">
        <v>827</v>
      </c>
      <c r="D2" s="17" t="s">
        <v>828</v>
      </c>
    </row>
    <row r="3" spans="2:4" ht="23.25" customHeight="1" x14ac:dyDescent="0.25">
      <c r="B3" s="11" t="s">
        <v>820</v>
      </c>
      <c r="C3" s="84">
        <v>0.31</v>
      </c>
      <c r="D3" s="83" t="s">
        <v>829</v>
      </c>
    </row>
    <row r="4" spans="2:4" ht="24" customHeight="1" x14ac:dyDescent="0.25">
      <c r="B4" s="11" t="s">
        <v>831</v>
      </c>
      <c r="C4" s="86">
        <f>0.113*1.2711</f>
        <v>0.14363429999999999</v>
      </c>
      <c r="D4" s="83" t="s">
        <v>830</v>
      </c>
    </row>
    <row r="5" spans="2:4" ht="22.5" customHeight="1" x14ac:dyDescent="0.25">
      <c r="B5" s="11" t="s">
        <v>821</v>
      </c>
      <c r="C5" s="87">
        <f>14.5*0.2777*365*(Informació!D8/0.3*2)*0.2</f>
        <v>6858.7271666666675</v>
      </c>
      <c r="D5" s="83" t="s">
        <v>832</v>
      </c>
    </row>
    <row r="6" spans="2:4" ht="22.5" customHeight="1" x14ac:dyDescent="0.25">
      <c r="B6" s="11" t="s">
        <v>822</v>
      </c>
      <c r="C6" s="85">
        <f>C3*C5</f>
        <v>2126.205421666667</v>
      </c>
    </row>
    <row r="7" spans="2:4" ht="24" customHeight="1" x14ac:dyDescent="0.25">
      <c r="B7" s="11" t="s">
        <v>823</v>
      </c>
      <c r="C7" s="88">
        <f>C5*C4</f>
        <v>985.14847547515001</v>
      </c>
    </row>
    <row r="8" spans="2:4" ht="22.5" customHeight="1" x14ac:dyDescent="0.25">
      <c r="B8" s="11" t="s">
        <v>824</v>
      </c>
      <c r="C8" s="88">
        <f>C7*25</f>
        <v>24628.711886878751</v>
      </c>
    </row>
    <row r="9" spans="2:4" ht="24" customHeight="1" x14ac:dyDescent="0.25">
      <c r="B9" s="89" t="s">
        <v>825</v>
      </c>
      <c r="C9" s="90">
        <f>Informació!D12/'Context Ambiental'!C7</f>
        <v>7.1055279221985383</v>
      </c>
    </row>
    <row r="10" spans="2:4" ht="28.5" customHeight="1" x14ac:dyDescent="0.25">
      <c r="B10" s="89" t="s">
        <v>826</v>
      </c>
      <c r="C10" s="90">
        <f>Informació!D12/(C7+(C13/(Informació!D11+Informació!D10+Informació!D9))/C14)</f>
        <v>4.9514758757823696</v>
      </c>
    </row>
    <row r="13" spans="2:4" ht="54.75" customHeight="1" x14ac:dyDescent="0.25">
      <c r="B13" s="91" t="s">
        <v>833</v>
      </c>
      <c r="C13" s="120">
        <v>150000</v>
      </c>
    </row>
    <row r="14" spans="2:4" ht="45.75" customHeight="1" x14ac:dyDescent="0.25">
      <c r="B14" s="91" t="s">
        <v>834</v>
      </c>
      <c r="C14" s="121">
        <v>5</v>
      </c>
    </row>
    <row r="20" spans="3:3" x14ac:dyDescent="0.25">
      <c r="C20" s="92"/>
    </row>
  </sheetData>
  <sheetProtection sheet="1" objects="1" scenarios="1"/>
  <hyperlinks>
    <hyperlink ref="D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7"/>
  <sheetViews>
    <sheetView workbookViewId="0">
      <selection activeCell="D717" sqref="D717"/>
    </sheetView>
  </sheetViews>
  <sheetFormatPr baseColWidth="10" defaultColWidth="11.140625" defaultRowHeight="15" x14ac:dyDescent="0.25"/>
  <cols>
    <col min="2" max="2" width="28.28515625" customWidth="1"/>
    <col min="3" max="3" width="15.5703125" customWidth="1"/>
    <col min="4" max="4" width="13.7109375" customWidth="1"/>
    <col min="5" max="5" width="18.28515625" customWidth="1"/>
    <col min="6" max="6" width="19.140625" style="46" customWidth="1"/>
    <col min="9" max="9" width="18.85546875" customWidth="1"/>
  </cols>
  <sheetData>
    <row r="1" spans="1:23" ht="45" customHeight="1" x14ac:dyDescent="0.25">
      <c r="A1" s="42" t="s">
        <v>378</v>
      </c>
      <c r="B1" s="42" t="s">
        <v>377</v>
      </c>
      <c r="C1" s="42" t="s">
        <v>379</v>
      </c>
      <c r="D1" s="42" t="s">
        <v>380</v>
      </c>
      <c r="E1" s="42" t="s">
        <v>381</v>
      </c>
      <c r="F1" s="44" t="s">
        <v>382</v>
      </c>
      <c r="G1" s="43" t="s">
        <v>383</v>
      </c>
      <c r="H1" s="43" t="s">
        <v>862</v>
      </c>
      <c r="I1" s="47" t="s">
        <v>384</v>
      </c>
      <c r="J1" s="47" t="s">
        <v>385</v>
      </c>
      <c r="K1" s="47" t="s">
        <v>386</v>
      </c>
      <c r="L1" s="47" t="s">
        <v>387</v>
      </c>
      <c r="M1" s="47" t="s">
        <v>388</v>
      </c>
      <c r="N1" s="47" t="s">
        <v>389</v>
      </c>
      <c r="O1" s="47" t="s">
        <v>390</v>
      </c>
      <c r="P1" s="47" t="s">
        <v>391</v>
      </c>
      <c r="Q1" s="47" t="s">
        <v>392</v>
      </c>
      <c r="R1" s="47" t="s">
        <v>393</v>
      </c>
      <c r="S1" s="47" t="s">
        <v>394</v>
      </c>
      <c r="T1" s="47" t="s">
        <v>395</v>
      </c>
      <c r="U1" s="47" t="s">
        <v>396</v>
      </c>
      <c r="V1" s="47" t="s">
        <v>397</v>
      </c>
      <c r="W1" s="47" t="s">
        <v>398</v>
      </c>
    </row>
    <row r="2" spans="1:23" x14ac:dyDescent="0.25">
      <c r="A2" s="40">
        <v>8001</v>
      </c>
      <c r="B2" s="40" t="s">
        <v>66</v>
      </c>
      <c r="C2" s="41">
        <v>1997</v>
      </c>
      <c r="D2" s="41">
        <v>7303</v>
      </c>
      <c r="E2" s="41">
        <v>556173</v>
      </c>
      <c r="F2" s="45">
        <v>4116701</v>
      </c>
      <c r="G2" s="20">
        <f t="shared" ref="G2:G65" si="0">F2/D2</f>
        <v>563.69998630699718</v>
      </c>
      <c r="H2" s="20" t="s">
        <v>86</v>
      </c>
    </row>
    <row r="3" spans="1:23" x14ac:dyDescent="0.25">
      <c r="A3" s="40">
        <v>8002</v>
      </c>
      <c r="B3" s="40" t="s">
        <v>67</v>
      </c>
      <c r="C3" s="41">
        <v>2008</v>
      </c>
      <c r="D3" s="40">
        <v>78</v>
      </c>
      <c r="E3" s="41">
        <v>4316</v>
      </c>
      <c r="F3" s="45">
        <v>22013</v>
      </c>
      <c r="G3" s="20">
        <f t="shared" si="0"/>
        <v>282.21794871794873</v>
      </c>
      <c r="H3" s="20" t="s">
        <v>86</v>
      </c>
    </row>
    <row r="4" spans="1:23" x14ac:dyDescent="0.25">
      <c r="A4" s="56">
        <v>17001</v>
      </c>
      <c r="B4" s="56" t="s">
        <v>405</v>
      </c>
      <c r="C4" s="59">
        <v>1989</v>
      </c>
      <c r="D4" s="62">
        <v>750</v>
      </c>
      <c r="E4" s="59">
        <v>27908</v>
      </c>
      <c r="F4" s="59">
        <v>195356</v>
      </c>
      <c r="G4" s="20">
        <f t="shared" si="0"/>
        <v>260.47466666666668</v>
      </c>
      <c r="H4" s="20" t="s">
        <v>479</v>
      </c>
    </row>
    <row r="5" spans="1:23" x14ac:dyDescent="0.25">
      <c r="A5" s="40">
        <v>8014</v>
      </c>
      <c r="B5" s="40" t="s">
        <v>68</v>
      </c>
      <c r="C5" s="41">
        <v>2008</v>
      </c>
      <c r="D5" s="41">
        <v>1967</v>
      </c>
      <c r="E5" s="41">
        <v>107114</v>
      </c>
      <c r="F5" s="45">
        <v>931892</v>
      </c>
      <c r="G5" s="20">
        <f t="shared" si="0"/>
        <v>473.76309100152514</v>
      </c>
      <c r="H5" s="20" t="s">
        <v>86</v>
      </c>
    </row>
    <row r="6" spans="1:23" x14ac:dyDescent="0.25">
      <c r="A6" s="69">
        <v>43001</v>
      </c>
      <c r="B6" s="69" t="s">
        <v>626</v>
      </c>
      <c r="C6" s="73">
        <v>1990</v>
      </c>
      <c r="D6" s="114">
        <v>1683</v>
      </c>
      <c r="E6" s="114">
        <v>40894</v>
      </c>
      <c r="F6" s="115">
        <v>368047.44</v>
      </c>
      <c r="G6" s="20">
        <f t="shared" si="0"/>
        <v>218.68534759358289</v>
      </c>
      <c r="H6" s="20" t="s">
        <v>778</v>
      </c>
    </row>
    <row r="7" spans="1:23" x14ac:dyDescent="0.25">
      <c r="A7" s="58">
        <v>17002</v>
      </c>
      <c r="B7" s="58" t="s">
        <v>406</v>
      </c>
      <c r="C7" s="61">
        <v>1986</v>
      </c>
      <c r="D7" s="63">
        <v>572</v>
      </c>
      <c r="E7" s="61">
        <v>48401</v>
      </c>
      <c r="F7" s="61">
        <v>319443</v>
      </c>
      <c r="G7" s="20">
        <f t="shared" si="0"/>
        <v>558.46678321678326</v>
      </c>
      <c r="H7" s="20" t="s">
        <v>479</v>
      </c>
    </row>
    <row r="8" spans="1:23" x14ac:dyDescent="0.25">
      <c r="A8" s="56">
        <v>17003</v>
      </c>
      <c r="B8" s="56" t="s">
        <v>407</v>
      </c>
      <c r="C8" s="59">
        <v>1989</v>
      </c>
      <c r="D8" s="62">
        <v>192</v>
      </c>
      <c r="E8" s="59">
        <v>7649</v>
      </c>
      <c r="F8" s="59">
        <v>48189</v>
      </c>
      <c r="G8" s="20">
        <f t="shared" si="0"/>
        <v>250.984375</v>
      </c>
      <c r="H8" s="20" t="s">
        <v>479</v>
      </c>
    </row>
    <row r="9" spans="1:23" x14ac:dyDescent="0.25">
      <c r="A9" s="71">
        <v>43002</v>
      </c>
      <c r="B9" s="71" t="s">
        <v>627</v>
      </c>
      <c r="C9" s="75">
        <v>1996</v>
      </c>
      <c r="D9" s="114">
        <v>2009</v>
      </c>
      <c r="E9" s="114">
        <v>96622</v>
      </c>
      <c r="F9" s="115">
        <v>772974.4</v>
      </c>
      <c r="G9" s="20">
        <f t="shared" si="0"/>
        <v>384.75579890492781</v>
      </c>
      <c r="H9" s="20" t="s">
        <v>778</v>
      </c>
    </row>
    <row r="10" spans="1:23" x14ac:dyDescent="0.25">
      <c r="A10" s="69">
        <v>43003</v>
      </c>
      <c r="B10" s="69" t="s">
        <v>628</v>
      </c>
      <c r="C10" s="73">
        <v>1990</v>
      </c>
      <c r="D10" s="114">
        <v>358</v>
      </c>
      <c r="E10" s="114">
        <v>25573</v>
      </c>
      <c r="F10" s="115">
        <v>157504.46</v>
      </c>
      <c r="G10" s="20">
        <f t="shared" si="0"/>
        <v>439.9565921787709</v>
      </c>
      <c r="H10" s="20" t="s">
        <v>778</v>
      </c>
    </row>
    <row r="11" spans="1:23" x14ac:dyDescent="0.25">
      <c r="A11" s="58">
        <v>17004</v>
      </c>
      <c r="B11" s="58" t="s">
        <v>408</v>
      </c>
      <c r="C11" s="61">
        <v>1989</v>
      </c>
      <c r="D11" s="63">
        <v>740</v>
      </c>
      <c r="E11" s="61">
        <v>42790</v>
      </c>
      <c r="F11" s="61">
        <v>226784</v>
      </c>
      <c r="G11" s="20">
        <f t="shared" si="0"/>
        <v>306.46486486486486</v>
      </c>
      <c r="H11" s="20" t="s">
        <v>479</v>
      </c>
    </row>
    <row r="12" spans="1:23" x14ac:dyDescent="0.25">
      <c r="A12" s="71">
        <v>43004</v>
      </c>
      <c r="B12" s="71" t="s">
        <v>629</v>
      </c>
      <c r="C12" s="75">
        <v>2001</v>
      </c>
      <c r="D12" s="114">
        <v>12963</v>
      </c>
      <c r="E12" s="114">
        <v>415758</v>
      </c>
      <c r="F12" s="115">
        <v>3700249.24</v>
      </c>
      <c r="G12" s="20">
        <f t="shared" si="0"/>
        <v>285.44698295147731</v>
      </c>
      <c r="H12" s="20" t="s">
        <v>778</v>
      </c>
    </row>
    <row r="13" spans="1:23" x14ac:dyDescent="0.25">
      <c r="A13" s="69">
        <v>43005</v>
      </c>
      <c r="B13" s="69" t="s">
        <v>630</v>
      </c>
      <c r="C13" s="73">
        <v>2007</v>
      </c>
      <c r="D13" s="114">
        <v>3532</v>
      </c>
      <c r="E13" s="114">
        <v>232461</v>
      </c>
      <c r="F13" s="115">
        <v>1394767.75</v>
      </c>
      <c r="G13" s="20">
        <f t="shared" si="0"/>
        <v>394.89460645526611</v>
      </c>
      <c r="H13" s="20" t="s">
        <v>778</v>
      </c>
    </row>
    <row r="14" spans="1:23" x14ac:dyDescent="0.25">
      <c r="A14" s="71">
        <v>43904</v>
      </c>
      <c r="B14" s="71" t="s">
        <v>631</v>
      </c>
      <c r="C14" s="75">
        <v>1988</v>
      </c>
      <c r="D14" s="114">
        <v>4446</v>
      </c>
      <c r="E14" s="114">
        <v>143820</v>
      </c>
      <c r="F14" s="115">
        <v>862921.58</v>
      </c>
      <c r="G14" s="20">
        <f t="shared" si="0"/>
        <v>194.08942420152945</v>
      </c>
      <c r="H14" s="20" t="s">
        <v>778</v>
      </c>
    </row>
    <row r="15" spans="1:23" x14ac:dyDescent="0.25">
      <c r="A15" s="69">
        <v>43006</v>
      </c>
      <c r="B15" s="69" t="s">
        <v>632</v>
      </c>
      <c r="C15" s="73">
        <v>1990</v>
      </c>
      <c r="D15" s="114">
        <v>763</v>
      </c>
      <c r="E15" s="114">
        <v>18322</v>
      </c>
      <c r="F15" s="115">
        <v>131915.17000000001</v>
      </c>
      <c r="G15" s="20">
        <f t="shared" si="0"/>
        <v>172.89013106159896</v>
      </c>
      <c r="H15" s="20" t="s">
        <v>778</v>
      </c>
    </row>
    <row r="16" spans="1:23" x14ac:dyDescent="0.25">
      <c r="A16" s="71">
        <v>43007</v>
      </c>
      <c r="B16" s="71" t="s">
        <v>633</v>
      </c>
      <c r="C16" s="75">
        <v>1990</v>
      </c>
      <c r="D16" s="114">
        <v>787</v>
      </c>
      <c r="E16" s="114">
        <v>22815</v>
      </c>
      <c r="F16" s="115">
        <v>159706.69</v>
      </c>
      <c r="G16" s="20">
        <f t="shared" si="0"/>
        <v>202.93099110546379</v>
      </c>
      <c r="H16" s="20" t="s">
        <v>778</v>
      </c>
    </row>
    <row r="17" spans="1:8" x14ac:dyDescent="0.25">
      <c r="A17" s="40">
        <v>8003</v>
      </c>
      <c r="B17" s="40" t="s">
        <v>69</v>
      </c>
      <c r="C17" s="41">
        <v>2002</v>
      </c>
      <c r="D17" s="41">
        <v>4533</v>
      </c>
      <c r="E17" s="41">
        <v>575623</v>
      </c>
      <c r="F17" s="45">
        <v>3620169</v>
      </c>
      <c r="G17" s="20">
        <f t="shared" si="0"/>
        <v>798.62541363335538</v>
      </c>
      <c r="H17" s="20" t="s">
        <v>86</v>
      </c>
    </row>
    <row r="18" spans="1:8" x14ac:dyDescent="0.25">
      <c r="A18" s="69">
        <v>43008</v>
      </c>
      <c r="B18" s="69" t="s">
        <v>634</v>
      </c>
      <c r="C18" s="73">
        <v>1990</v>
      </c>
      <c r="D18" s="114">
        <v>600</v>
      </c>
      <c r="E18" s="114">
        <v>16097</v>
      </c>
      <c r="F18" s="115">
        <v>120725.42</v>
      </c>
      <c r="G18" s="20">
        <f t="shared" si="0"/>
        <v>201.20903333333334</v>
      </c>
      <c r="H18" s="20" t="s">
        <v>778</v>
      </c>
    </row>
    <row r="19" spans="1:8" x14ac:dyDescent="0.25">
      <c r="A19" s="71">
        <v>43009</v>
      </c>
      <c r="B19" s="71" t="s">
        <v>635</v>
      </c>
      <c r="C19" s="75">
        <v>1987</v>
      </c>
      <c r="D19" s="114">
        <v>1680</v>
      </c>
      <c r="E19" s="114">
        <v>40471</v>
      </c>
      <c r="F19" s="115">
        <v>396611.9</v>
      </c>
      <c r="G19" s="20">
        <f t="shared" si="0"/>
        <v>236.07851190476191</v>
      </c>
      <c r="H19" s="20" t="s">
        <v>778</v>
      </c>
    </row>
    <row r="20" spans="1:8" x14ac:dyDescent="0.25">
      <c r="A20" s="69">
        <v>43010</v>
      </c>
      <c r="B20" s="69" t="s">
        <v>636</v>
      </c>
      <c r="C20" s="73">
        <v>1988</v>
      </c>
      <c r="D20" s="114">
        <v>415</v>
      </c>
      <c r="E20" s="114">
        <v>18721</v>
      </c>
      <c r="F20" s="115">
        <v>127305.47</v>
      </c>
      <c r="G20" s="20">
        <f t="shared" si="0"/>
        <v>306.76016867469878</v>
      </c>
      <c r="H20" s="20" t="s">
        <v>778</v>
      </c>
    </row>
    <row r="21" spans="1:8" x14ac:dyDescent="0.25">
      <c r="A21" s="71">
        <v>43011</v>
      </c>
      <c r="B21" s="71" t="s">
        <v>637</v>
      </c>
      <c r="C21" s="75">
        <v>2007</v>
      </c>
      <c r="D21" s="114">
        <v>869</v>
      </c>
      <c r="E21" s="114">
        <v>53222</v>
      </c>
      <c r="F21" s="115">
        <v>431099.91</v>
      </c>
      <c r="G21" s="20">
        <f t="shared" si="0"/>
        <v>496.08735327963171</v>
      </c>
      <c r="H21" s="20" t="s">
        <v>778</v>
      </c>
    </row>
    <row r="22" spans="1:8" x14ac:dyDescent="0.25">
      <c r="A22" s="56">
        <v>17006</v>
      </c>
      <c r="B22" s="56" t="s">
        <v>409</v>
      </c>
      <c r="C22" s="59">
        <v>1989</v>
      </c>
      <c r="D22" s="59">
        <v>5246</v>
      </c>
      <c r="E22" s="59">
        <v>148604</v>
      </c>
      <c r="F22" s="59">
        <v>1322574</v>
      </c>
      <c r="G22" s="20">
        <f t="shared" si="0"/>
        <v>252.1109416698437</v>
      </c>
      <c r="H22" s="20" t="s">
        <v>479</v>
      </c>
    </row>
    <row r="23" spans="1:8" x14ac:dyDescent="0.25">
      <c r="A23" s="40">
        <v>8004</v>
      </c>
      <c r="B23" s="40" t="s">
        <v>70</v>
      </c>
      <c r="C23" s="41">
        <v>2010</v>
      </c>
      <c r="D23" s="40">
        <v>315</v>
      </c>
      <c r="E23" s="41">
        <v>16173</v>
      </c>
      <c r="F23" s="45">
        <v>107146</v>
      </c>
      <c r="G23" s="20">
        <f t="shared" si="0"/>
        <v>340.14603174603172</v>
      </c>
      <c r="H23" s="20" t="s">
        <v>86</v>
      </c>
    </row>
    <row r="24" spans="1:8" x14ac:dyDescent="0.25">
      <c r="A24" s="69">
        <v>43012</v>
      </c>
      <c r="B24" s="69" t="s">
        <v>638</v>
      </c>
      <c r="C24" s="73">
        <v>2013</v>
      </c>
      <c r="D24" s="114">
        <v>6640</v>
      </c>
      <c r="E24" s="114">
        <v>489435</v>
      </c>
      <c r="F24" s="115">
        <v>4307025.68</v>
      </c>
      <c r="G24" s="20">
        <f t="shared" si="0"/>
        <v>648.6484457831325</v>
      </c>
      <c r="H24" s="20" t="s">
        <v>778</v>
      </c>
    </row>
    <row r="25" spans="1:8" x14ac:dyDescent="0.25">
      <c r="A25" s="58">
        <v>17007</v>
      </c>
      <c r="B25" s="58" t="s">
        <v>410</v>
      </c>
      <c r="C25" s="61">
        <v>1990</v>
      </c>
      <c r="D25" s="61">
        <v>1980</v>
      </c>
      <c r="E25" s="61">
        <v>68926</v>
      </c>
      <c r="F25" s="61">
        <v>599655</v>
      </c>
      <c r="G25" s="20">
        <f t="shared" si="0"/>
        <v>302.85606060606062</v>
      </c>
      <c r="H25" s="20" t="s">
        <v>479</v>
      </c>
    </row>
    <row r="26" spans="1:8" x14ac:dyDescent="0.25">
      <c r="A26" s="71">
        <v>43013</v>
      </c>
      <c r="B26" s="71" t="s">
        <v>639</v>
      </c>
      <c r="C26" s="75">
        <v>1999</v>
      </c>
      <c r="D26" s="114">
        <v>11611</v>
      </c>
      <c r="E26" s="114">
        <v>470173</v>
      </c>
      <c r="F26" s="115">
        <v>4137519</v>
      </c>
      <c r="G26" s="20">
        <f t="shared" si="0"/>
        <v>356.34475927999313</v>
      </c>
      <c r="H26" s="20" t="s">
        <v>778</v>
      </c>
    </row>
    <row r="27" spans="1:8" x14ac:dyDescent="0.25">
      <c r="A27" s="40">
        <v>8005</v>
      </c>
      <c r="B27" s="40" t="s">
        <v>71</v>
      </c>
      <c r="C27" s="41">
        <v>2008</v>
      </c>
      <c r="D27" s="41">
        <v>4498</v>
      </c>
      <c r="E27" s="41">
        <v>508382</v>
      </c>
      <c r="F27" s="45">
        <v>3762029</v>
      </c>
      <c r="G27" s="20">
        <f t="shared" si="0"/>
        <v>836.37816807469983</v>
      </c>
      <c r="H27" s="20" t="s">
        <v>86</v>
      </c>
    </row>
    <row r="28" spans="1:8" x14ac:dyDescent="0.25">
      <c r="A28" s="69">
        <v>43906</v>
      </c>
      <c r="B28" s="69" t="s">
        <v>640</v>
      </c>
      <c r="C28" s="73">
        <v>1996</v>
      </c>
      <c r="D28" s="114">
        <v>6827</v>
      </c>
      <c r="E28" s="114">
        <v>254972</v>
      </c>
      <c r="F28" s="115">
        <v>2192763</v>
      </c>
      <c r="G28" s="20">
        <f t="shared" si="0"/>
        <v>321.18983448073823</v>
      </c>
      <c r="H28" s="20" t="s">
        <v>778</v>
      </c>
    </row>
    <row r="29" spans="1:8" x14ac:dyDescent="0.25">
      <c r="A29" s="71">
        <v>43014</v>
      </c>
      <c r="B29" s="71" t="s">
        <v>641</v>
      </c>
      <c r="C29" s="75">
        <v>2004</v>
      </c>
      <c r="D29" s="114">
        <v>19133</v>
      </c>
      <c r="E29" s="114">
        <v>867168</v>
      </c>
      <c r="F29" s="115">
        <v>7430671.3099999996</v>
      </c>
      <c r="G29" s="20">
        <f t="shared" si="0"/>
        <v>388.3693780379449</v>
      </c>
      <c r="H29" s="20" t="s">
        <v>778</v>
      </c>
    </row>
    <row r="30" spans="1:8" x14ac:dyDescent="0.25">
      <c r="A30" s="56">
        <v>17008</v>
      </c>
      <c r="B30" s="56" t="s">
        <v>411</v>
      </c>
      <c r="C30" s="59">
        <v>1986</v>
      </c>
      <c r="D30" s="59">
        <v>4150</v>
      </c>
      <c r="E30" s="59">
        <v>166650</v>
      </c>
      <c r="F30" s="59">
        <v>1605506</v>
      </c>
      <c r="G30" s="20">
        <f t="shared" si="0"/>
        <v>386.86891566265058</v>
      </c>
      <c r="H30" s="20" t="s">
        <v>479</v>
      </c>
    </row>
    <row r="31" spans="1:8" x14ac:dyDescent="0.25">
      <c r="A31" s="69">
        <v>43016</v>
      </c>
      <c r="B31" s="69" t="s">
        <v>642</v>
      </c>
      <c r="C31" s="73">
        <v>1996</v>
      </c>
      <c r="D31" s="114">
        <v>3937</v>
      </c>
      <c r="E31" s="114">
        <v>190336</v>
      </c>
      <c r="F31" s="115">
        <v>1652120.01</v>
      </c>
      <c r="G31" s="20">
        <f t="shared" si="0"/>
        <v>419.63932181864362</v>
      </c>
      <c r="H31" s="20" t="s">
        <v>778</v>
      </c>
    </row>
    <row r="32" spans="1:8" x14ac:dyDescent="0.25">
      <c r="A32" s="71">
        <v>43015</v>
      </c>
      <c r="B32" s="71" t="s">
        <v>643</v>
      </c>
      <c r="C32" s="75">
        <v>1989</v>
      </c>
      <c r="D32" s="114">
        <v>164</v>
      </c>
      <c r="E32" s="114">
        <v>3502</v>
      </c>
      <c r="F32" s="115">
        <v>26265.38</v>
      </c>
      <c r="G32" s="20">
        <f t="shared" si="0"/>
        <v>160.15475609756098</v>
      </c>
      <c r="H32" s="20" t="s">
        <v>778</v>
      </c>
    </row>
    <row r="33" spans="1:8" x14ac:dyDescent="0.25">
      <c r="A33" s="58">
        <v>17009</v>
      </c>
      <c r="B33" s="58" t="s">
        <v>412</v>
      </c>
      <c r="C33" s="61">
        <v>1996</v>
      </c>
      <c r="D33" s="61">
        <v>4950</v>
      </c>
      <c r="E33" s="61">
        <v>290964</v>
      </c>
      <c r="F33" s="61">
        <v>2121125</v>
      </c>
      <c r="G33" s="20">
        <f t="shared" si="0"/>
        <v>428.51010101010098</v>
      </c>
      <c r="H33" s="20" t="s">
        <v>479</v>
      </c>
    </row>
    <row r="34" spans="1:8" x14ac:dyDescent="0.25">
      <c r="A34" s="40">
        <v>8006</v>
      </c>
      <c r="B34" s="40" t="s">
        <v>72</v>
      </c>
      <c r="C34" s="41">
        <v>2002</v>
      </c>
      <c r="D34" s="41">
        <v>11447</v>
      </c>
      <c r="E34" s="41">
        <v>812228</v>
      </c>
      <c r="F34" s="45">
        <v>6223097</v>
      </c>
      <c r="G34" s="20">
        <f t="shared" si="0"/>
        <v>543.64436096793918</v>
      </c>
      <c r="H34" s="20" t="s">
        <v>86</v>
      </c>
    </row>
    <row r="35" spans="1:8" x14ac:dyDescent="0.25">
      <c r="A35" s="40">
        <v>8007</v>
      </c>
      <c r="B35" s="40" t="s">
        <v>73</v>
      </c>
      <c r="C35" s="41">
        <v>2000</v>
      </c>
      <c r="D35" s="41">
        <v>6161</v>
      </c>
      <c r="E35" s="41">
        <v>464753</v>
      </c>
      <c r="F35" s="45">
        <v>3299743</v>
      </c>
      <c r="G35" s="20">
        <f t="shared" si="0"/>
        <v>535.58561921765943</v>
      </c>
      <c r="H35" s="20" t="s">
        <v>86</v>
      </c>
    </row>
    <row r="36" spans="1:8" x14ac:dyDescent="0.25">
      <c r="A36" s="56">
        <v>17010</v>
      </c>
      <c r="B36" s="56" t="s">
        <v>413</v>
      </c>
      <c r="C36" s="59">
        <v>1986</v>
      </c>
      <c r="D36" s="62">
        <v>453</v>
      </c>
      <c r="E36" s="59">
        <v>26642</v>
      </c>
      <c r="F36" s="59">
        <v>133210</v>
      </c>
      <c r="G36" s="20">
        <f t="shared" si="0"/>
        <v>294.0618101545254</v>
      </c>
      <c r="H36" s="20" t="s">
        <v>479</v>
      </c>
    </row>
    <row r="37" spans="1:8" x14ac:dyDescent="0.25">
      <c r="A37" s="40">
        <v>8008</v>
      </c>
      <c r="B37" s="40" t="s">
        <v>74</v>
      </c>
      <c r="C37" s="41">
        <v>1988</v>
      </c>
      <c r="D37" s="40">
        <v>235</v>
      </c>
      <c r="E37" s="41">
        <v>7257</v>
      </c>
      <c r="F37" s="45">
        <v>50219</v>
      </c>
      <c r="G37" s="20">
        <f t="shared" si="0"/>
        <v>213.69787234042553</v>
      </c>
      <c r="H37" s="20" t="s">
        <v>86</v>
      </c>
    </row>
    <row r="38" spans="1:8" x14ac:dyDescent="0.25">
      <c r="A38" s="69">
        <v>43017</v>
      </c>
      <c r="B38" s="69" t="s">
        <v>644</v>
      </c>
      <c r="C38" s="73">
        <v>1989</v>
      </c>
      <c r="D38" s="114">
        <v>206</v>
      </c>
      <c r="E38" s="114">
        <v>4625</v>
      </c>
      <c r="F38" s="115">
        <v>25436.76</v>
      </c>
      <c r="G38" s="20">
        <f t="shared" si="0"/>
        <v>123.47941747572814</v>
      </c>
      <c r="H38" s="20" t="s">
        <v>778</v>
      </c>
    </row>
    <row r="39" spans="1:8" x14ac:dyDescent="0.25">
      <c r="A39" s="40">
        <v>8009</v>
      </c>
      <c r="B39" s="40" t="s">
        <v>75</v>
      </c>
      <c r="C39" s="41">
        <v>2009</v>
      </c>
      <c r="D39" s="41">
        <v>6578</v>
      </c>
      <c r="E39" s="41">
        <v>719730</v>
      </c>
      <c r="F39" s="45">
        <v>4854900</v>
      </c>
      <c r="G39" s="20">
        <f t="shared" si="0"/>
        <v>738.05107935542719</v>
      </c>
      <c r="H39" s="20" t="s">
        <v>86</v>
      </c>
    </row>
    <row r="40" spans="1:8" x14ac:dyDescent="0.25">
      <c r="A40" s="58">
        <v>17011</v>
      </c>
      <c r="B40" s="58" t="s">
        <v>414</v>
      </c>
      <c r="C40" s="61">
        <v>1989</v>
      </c>
      <c r="D40" s="61">
        <v>1005</v>
      </c>
      <c r="E40" s="61">
        <v>40180</v>
      </c>
      <c r="F40" s="61">
        <v>241082</v>
      </c>
      <c r="G40" s="20">
        <f t="shared" si="0"/>
        <v>239.88258706467661</v>
      </c>
      <c r="H40" s="20" t="s">
        <v>479</v>
      </c>
    </row>
    <row r="41" spans="1:8" x14ac:dyDescent="0.25">
      <c r="A41" s="71">
        <v>43018</v>
      </c>
      <c r="B41" s="71" t="s">
        <v>645</v>
      </c>
      <c r="C41" s="75">
        <v>1990</v>
      </c>
      <c r="D41" s="114">
        <v>659</v>
      </c>
      <c r="E41" s="114">
        <v>17536</v>
      </c>
      <c r="F41" s="115">
        <v>122751.66</v>
      </c>
      <c r="G41" s="20">
        <f t="shared" si="0"/>
        <v>186.26959028831564</v>
      </c>
      <c r="H41" s="20" t="s">
        <v>778</v>
      </c>
    </row>
    <row r="42" spans="1:8" x14ac:dyDescent="0.25">
      <c r="A42" s="40">
        <v>8010</v>
      </c>
      <c r="B42" s="40" t="s">
        <v>76</v>
      </c>
      <c r="C42" s="41">
        <v>2005</v>
      </c>
      <c r="D42" s="41">
        <v>3619</v>
      </c>
      <c r="E42" s="41">
        <v>258516</v>
      </c>
      <c r="F42" s="45">
        <v>1321001</v>
      </c>
      <c r="G42" s="20">
        <f t="shared" si="0"/>
        <v>365.01823708206689</v>
      </c>
      <c r="H42" s="20" t="s">
        <v>86</v>
      </c>
    </row>
    <row r="43" spans="1:8" x14ac:dyDescent="0.25">
      <c r="A43" s="69">
        <v>43019</v>
      </c>
      <c r="B43" s="69" t="s">
        <v>646</v>
      </c>
      <c r="C43" s="73">
        <v>1990</v>
      </c>
      <c r="D43" s="114">
        <v>1387</v>
      </c>
      <c r="E43" s="114">
        <v>30592</v>
      </c>
      <c r="F43" s="115">
        <v>130320.35</v>
      </c>
      <c r="G43" s="20">
        <f t="shared" si="0"/>
        <v>93.958435472242257</v>
      </c>
      <c r="H43" s="20" t="s">
        <v>778</v>
      </c>
    </row>
    <row r="44" spans="1:8" x14ac:dyDescent="0.25">
      <c r="A44" s="40">
        <v>8011</v>
      </c>
      <c r="B44" s="40" t="s">
        <v>77</v>
      </c>
      <c r="C44" s="41">
        <v>1986</v>
      </c>
      <c r="D44" s="41">
        <v>1531</v>
      </c>
      <c r="E44" s="41">
        <v>46070</v>
      </c>
      <c r="F44" s="45">
        <v>391591</v>
      </c>
      <c r="G44" s="20">
        <f t="shared" si="0"/>
        <v>255.77465708687131</v>
      </c>
      <c r="H44" s="20" t="s">
        <v>86</v>
      </c>
    </row>
    <row r="45" spans="1:8" x14ac:dyDescent="0.25">
      <c r="A45" s="40">
        <v>8012</v>
      </c>
      <c r="B45" s="40" t="s">
        <v>78</v>
      </c>
      <c r="C45" s="41">
        <v>2005</v>
      </c>
      <c r="D45" s="41">
        <v>1533</v>
      </c>
      <c r="E45" s="41">
        <v>96843</v>
      </c>
      <c r="F45" s="45">
        <v>542319</v>
      </c>
      <c r="G45" s="20">
        <f t="shared" si="0"/>
        <v>353.76320939334636</v>
      </c>
      <c r="H45" s="20" t="s">
        <v>86</v>
      </c>
    </row>
    <row r="46" spans="1:8" x14ac:dyDescent="0.25">
      <c r="A46" s="56">
        <v>17012</v>
      </c>
      <c r="B46" s="56" t="s">
        <v>415</v>
      </c>
      <c r="C46" s="59">
        <v>2012</v>
      </c>
      <c r="D46" s="62">
        <v>719</v>
      </c>
      <c r="E46" s="59">
        <v>69027</v>
      </c>
      <c r="F46" s="59">
        <v>296820</v>
      </c>
      <c r="G46" s="20">
        <f t="shared" si="0"/>
        <v>412.82336578581362</v>
      </c>
      <c r="H46" s="20" t="s">
        <v>479</v>
      </c>
    </row>
    <row r="47" spans="1:8" x14ac:dyDescent="0.25">
      <c r="A47" s="40">
        <v>8013</v>
      </c>
      <c r="B47" s="40" t="s">
        <v>79</v>
      </c>
      <c r="C47" s="41">
        <v>2008</v>
      </c>
      <c r="D47" s="41">
        <v>1312</v>
      </c>
      <c r="E47" s="41">
        <v>82597</v>
      </c>
      <c r="F47" s="45">
        <v>528623</v>
      </c>
      <c r="G47" s="20">
        <f t="shared" si="0"/>
        <v>402.91387195121951</v>
      </c>
      <c r="H47" s="20" t="s">
        <v>86</v>
      </c>
    </row>
    <row r="48" spans="1:8" x14ac:dyDescent="0.25">
      <c r="A48" s="40">
        <v>8015</v>
      </c>
      <c r="B48" s="40" t="s">
        <v>80</v>
      </c>
      <c r="C48" s="41">
        <v>1998</v>
      </c>
      <c r="D48" s="41">
        <v>138964</v>
      </c>
      <c r="E48" s="41">
        <v>6311732</v>
      </c>
      <c r="F48" s="45">
        <v>51080272</v>
      </c>
      <c r="G48" s="20">
        <f t="shared" si="0"/>
        <v>367.57917158400738</v>
      </c>
      <c r="H48" s="20" t="s">
        <v>86</v>
      </c>
    </row>
    <row r="49" spans="1:8" x14ac:dyDescent="0.25">
      <c r="A49" s="40">
        <v>8904</v>
      </c>
      <c r="B49" s="40" t="s">
        <v>81</v>
      </c>
      <c r="C49" s="41">
        <v>2010</v>
      </c>
      <c r="D49" s="41">
        <v>5899</v>
      </c>
      <c r="E49" s="41">
        <v>197024</v>
      </c>
      <c r="F49" s="45">
        <v>1312757</v>
      </c>
      <c r="G49" s="20">
        <f t="shared" si="0"/>
        <v>222.53890489913545</v>
      </c>
      <c r="H49" s="20" t="s">
        <v>86</v>
      </c>
    </row>
    <row r="50" spans="1:8" x14ac:dyDescent="0.25">
      <c r="A50" s="40">
        <v>8016</v>
      </c>
      <c r="B50" s="40" t="s">
        <v>82</v>
      </c>
      <c r="C50" s="41">
        <v>2009</v>
      </c>
      <c r="D50" s="41">
        <v>2220</v>
      </c>
      <c r="E50" s="41">
        <v>96092</v>
      </c>
      <c r="F50" s="45">
        <v>565022</v>
      </c>
      <c r="G50" s="20">
        <f t="shared" si="0"/>
        <v>254.5144144144144</v>
      </c>
      <c r="H50" s="20" t="s">
        <v>86</v>
      </c>
    </row>
    <row r="51" spans="1:8" x14ac:dyDescent="0.25">
      <c r="A51" s="40">
        <v>8017</v>
      </c>
      <c r="B51" s="40" t="s">
        <v>83</v>
      </c>
      <c r="C51" s="41">
        <v>2012</v>
      </c>
      <c r="D51" s="41">
        <v>2358</v>
      </c>
      <c r="E51" s="41">
        <v>162415</v>
      </c>
      <c r="F51" s="45">
        <v>932675</v>
      </c>
      <c r="G51" s="20">
        <f t="shared" si="0"/>
        <v>395.53647158608993</v>
      </c>
      <c r="H51" s="20" t="s">
        <v>86</v>
      </c>
    </row>
    <row r="52" spans="1:8" x14ac:dyDescent="0.25">
      <c r="A52" s="40">
        <v>8018</v>
      </c>
      <c r="B52" s="40" t="s">
        <v>84</v>
      </c>
      <c r="C52" s="41">
        <v>2005</v>
      </c>
      <c r="D52" s="41">
        <v>2355</v>
      </c>
      <c r="E52" s="41">
        <v>150140</v>
      </c>
      <c r="F52" s="45">
        <v>750702</v>
      </c>
      <c r="G52" s="20">
        <f t="shared" si="0"/>
        <v>318.76942675159233</v>
      </c>
      <c r="H52" s="20" t="s">
        <v>86</v>
      </c>
    </row>
    <row r="53" spans="1:8" x14ac:dyDescent="0.25">
      <c r="A53" s="71">
        <v>43020</v>
      </c>
      <c r="B53" s="71" t="s">
        <v>647</v>
      </c>
      <c r="C53" s="75">
        <v>1996</v>
      </c>
      <c r="D53" s="114">
        <v>2186</v>
      </c>
      <c r="E53" s="114">
        <v>139489</v>
      </c>
      <c r="F53" s="115">
        <v>850881.89</v>
      </c>
      <c r="G53" s="20">
        <f t="shared" si="0"/>
        <v>389.24148673376033</v>
      </c>
      <c r="H53" s="20" t="s">
        <v>778</v>
      </c>
    </row>
    <row r="54" spans="1:8" x14ac:dyDescent="0.25">
      <c r="A54" s="58">
        <v>17015</v>
      </c>
      <c r="B54" s="58" t="s">
        <v>416</v>
      </c>
      <c r="C54" s="61">
        <v>1995</v>
      </c>
      <c r="D54" s="61">
        <v>15091</v>
      </c>
      <c r="E54" s="61">
        <v>745117</v>
      </c>
      <c r="F54" s="61">
        <v>6059290</v>
      </c>
      <c r="G54" s="20">
        <f t="shared" si="0"/>
        <v>401.51679809157775</v>
      </c>
      <c r="H54" s="20" t="s">
        <v>479</v>
      </c>
    </row>
    <row r="55" spans="1:8" x14ac:dyDescent="0.25">
      <c r="A55" s="69">
        <v>43021</v>
      </c>
      <c r="B55" s="69" t="s">
        <v>648</v>
      </c>
      <c r="C55" s="73">
        <v>1990</v>
      </c>
      <c r="D55" s="114">
        <v>710</v>
      </c>
      <c r="E55" s="114">
        <v>21891</v>
      </c>
      <c r="F55" s="115">
        <v>158929.85</v>
      </c>
      <c r="G55" s="20">
        <f t="shared" si="0"/>
        <v>223.84485915492959</v>
      </c>
      <c r="H55" s="20" t="s">
        <v>778</v>
      </c>
    </row>
    <row r="56" spans="1:8" x14ac:dyDescent="0.25">
      <c r="A56" s="40">
        <v>8252</v>
      </c>
      <c r="B56" s="40" t="s">
        <v>85</v>
      </c>
      <c r="C56" s="41">
        <v>1990</v>
      </c>
      <c r="D56" s="41">
        <v>20726</v>
      </c>
      <c r="E56" s="41">
        <v>1994532</v>
      </c>
      <c r="F56" s="45">
        <v>10647409</v>
      </c>
      <c r="G56" s="20">
        <f t="shared" si="0"/>
        <v>513.72232944128143</v>
      </c>
      <c r="H56" s="20" t="s">
        <v>86</v>
      </c>
    </row>
    <row r="57" spans="1:8" x14ac:dyDescent="0.25">
      <c r="A57" s="40">
        <v>8019</v>
      </c>
      <c r="B57" s="40" t="s">
        <v>86</v>
      </c>
      <c r="C57" s="41">
        <v>2018</v>
      </c>
      <c r="D57" s="41">
        <v>1144829</v>
      </c>
      <c r="E57" s="41">
        <v>120495812</v>
      </c>
      <c r="F57" s="45">
        <v>779088988</v>
      </c>
      <c r="G57" s="20">
        <f t="shared" si="0"/>
        <v>680.5286972988979</v>
      </c>
      <c r="H57" s="20" t="s">
        <v>86</v>
      </c>
    </row>
    <row r="58" spans="1:8" x14ac:dyDescent="0.25">
      <c r="A58" s="56">
        <v>17016</v>
      </c>
      <c r="B58" s="56" t="s">
        <v>417</v>
      </c>
      <c r="C58" s="59">
        <v>1989</v>
      </c>
      <c r="D58" s="62">
        <v>884</v>
      </c>
      <c r="E58" s="59">
        <v>35307</v>
      </c>
      <c r="F58" s="59">
        <v>335414</v>
      </c>
      <c r="G58" s="20">
        <f t="shared" si="0"/>
        <v>379.42760180995475</v>
      </c>
      <c r="H58" s="20" t="s">
        <v>479</v>
      </c>
    </row>
    <row r="59" spans="1:8" x14ac:dyDescent="0.25">
      <c r="A59" s="71">
        <v>43022</v>
      </c>
      <c r="B59" s="71" t="s">
        <v>649</v>
      </c>
      <c r="C59" s="75">
        <v>1990</v>
      </c>
      <c r="D59" s="114">
        <v>1657</v>
      </c>
      <c r="E59" s="114">
        <v>50730</v>
      </c>
      <c r="F59" s="115">
        <v>263795.34000000003</v>
      </c>
      <c r="G59" s="20">
        <f t="shared" si="0"/>
        <v>159.20056729028366</v>
      </c>
      <c r="H59" s="20" t="s">
        <v>778</v>
      </c>
    </row>
    <row r="60" spans="1:8" x14ac:dyDescent="0.25">
      <c r="A60" s="40">
        <v>8020</v>
      </c>
      <c r="B60" s="40" t="s">
        <v>87</v>
      </c>
      <c r="C60" s="41">
        <v>2010</v>
      </c>
      <c r="D60" s="41">
        <v>3772</v>
      </c>
      <c r="E60" s="41">
        <v>388300</v>
      </c>
      <c r="F60" s="45">
        <v>2835457</v>
      </c>
      <c r="G60" s="20">
        <f t="shared" si="0"/>
        <v>751.71182396606571</v>
      </c>
      <c r="H60" s="20" t="s">
        <v>86</v>
      </c>
    </row>
    <row r="61" spans="1:8" x14ac:dyDescent="0.25">
      <c r="A61" s="58">
        <v>17013</v>
      </c>
      <c r="B61" s="58" t="s">
        <v>418</v>
      </c>
      <c r="C61" s="61">
        <v>1995</v>
      </c>
      <c r="D61" s="61">
        <v>8312</v>
      </c>
      <c r="E61" s="61">
        <v>897479</v>
      </c>
      <c r="F61" s="61">
        <v>4846389</v>
      </c>
      <c r="G61" s="20">
        <f t="shared" si="0"/>
        <v>583.05931183830603</v>
      </c>
      <c r="H61" s="20" t="s">
        <v>479</v>
      </c>
    </row>
    <row r="62" spans="1:8" x14ac:dyDescent="0.25">
      <c r="A62" s="56">
        <v>17018</v>
      </c>
      <c r="B62" s="56" t="s">
        <v>419</v>
      </c>
      <c r="C62" s="59">
        <v>1989</v>
      </c>
      <c r="D62" s="62">
        <v>693</v>
      </c>
      <c r="E62" s="59">
        <v>29675</v>
      </c>
      <c r="F62" s="59">
        <v>163213</v>
      </c>
      <c r="G62" s="20">
        <f t="shared" si="0"/>
        <v>235.51659451659452</v>
      </c>
      <c r="H62" s="20" t="s">
        <v>479</v>
      </c>
    </row>
    <row r="63" spans="1:8" x14ac:dyDescent="0.25">
      <c r="A63" s="69">
        <v>43023</v>
      </c>
      <c r="B63" s="69" t="s">
        <v>650</v>
      </c>
      <c r="C63" s="73">
        <v>1990</v>
      </c>
      <c r="D63" s="114">
        <v>386</v>
      </c>
      <c r="E63" s="114">
        <v>6044</v>
      </c>
      <c r="F63" s="115">
        <v>36265.5</v>
      </c>
      <c r="G63" s="20">
        <f t="shared" si="0"/>
        <v>93.952072538860108</v>
      </c>
      <c r="H63" s="20" t="s">
        <v>778</v>
      </c>
    </row>
    <row r="64" spans="1:8" x14ac:dyDescent="0.25">
      <c r="A64" s="40">
        <v>8021</v>
      </c>
      <c r="B64" s="40" t="s">
        <v>88</v>
      </c>
      <c r="C64" s="41">
        <v>1988</v>
      </c>
      <c r="D64" s="40">
        <v>97</v>
      </c>
      <c r="E64" s="41">
        <v>3041</v>
      </c>
      <c r="F64" s="45">
        <v>20373</v>
      </c>
      <c r="G64" s="20">
        <f t="shared" si="0"/>
        <v>210.03092783505156</v>
      </c>
      <c r="H64" s="20" t="s">
        <v>86</v>
      </c>
    </row>
    <row r="65" spans="1:8" x14ac:dyDescent="0.25">
      <c r="A65" s="71">
        <v>43024</v>
      </c>
      <c r="B65" s="71" t="s">
        <v>651</v>
      </c>
      <c r="C65" s="75">
        <v>1996</v>
      </c>
      <c r="D65" s="114">
        <v>2056</v>
      </c>
      <c r="E65" s="114">
        <v>125360</v>
      </c>
      <c r="F65" s="115">
        <v>774726.63</v>
      </c>
      <c r="G65" s="20">
        <f t="shared" si="0"/>
        <v>376.81256322957199</v>
      </c>
      <c r="H65" s="20" t="s">
        <v>778</v>
      </c>
    </row>
    <row r="66" spans="1:8" x14ac:dyDescent="0.25">
      <c r="A66" s="69">
        <v>43025</v>
      </c>
      <c r="B66" s="69" t="s">
        <v>652</v>
      </c>
      <c r="C66" s="73">
        <v>1990</v>
      </c>
      <c r="D66" s="114">
        <v>674</v>
      </c>
      <c r="E66" s="114">
        <v>16248</v>
      </c>
      <c r="F66" s="115">
        <v>113734.61</v>
      </c>
      <c r="G66" s="20">
        <f t="shared" ref="G66:G129" si="1">F66/D66</f>
        <v>168.7457121661721</v>
      </c>
      <c r="H66" s="20" t="s">
        <v>778</v>
      </c>
    </row>
    <row r="67" spans="1:8" x14ac:dyDescent="0.25">
      <c r="A67" s="71">
        <v>43026</v>
      </c>
      <c r="B67" s="71" t="s">
        <v>653</v>
      </c>
      <c r="C67" s="75">
        <v>2005</v>
      </c>
      <c r="D67" s="114">
        <v>917</v>
      </c>
      <c r="E67" s="114">
        <v>41617</v>
      </c>
      <c r="F67" s="115">
        <v>269093.27</v>
      </c>
      <c r="G67" s="20">
        <f t="shared" si="1"/>
        <v>293.44958560523446</v>
      </c>
      <c r="H67" s="20" t="s">
        <v>778</v>
      </c>
    </row>
    <row r="68" spans="1:8" x14ac:dyDescent="0.25">
      <c r="A68" s="40">
        <v>8022</v>
      </c>
      <c r="B68" s="40" t="s">
        <v>89</v>
      </c>
      <c r="C68" s="41">
        <v>2001</v>
      </c>
      <c r="D68" s="41">
        <v>15178</v>
      </c>
      <c r="E68" s="41">
        <v>625065</v>
      </c>
      <c r="F68" s="45">
        <v>4383908</v>
      </c>
      <c r="G68" s="20">
        <f t="shared" si="1"/>
        <v>288.83304783238896</v>
      </c>
      <c r="H68" s="20" t="s">
        <v>86</v>
      </c>
    </row>
    <row r="69" spans="1:8" x14ac:dyDescent="0.25">
      <c r="A69" s="58">
        <v>17019</v>
      </c>
      <c r="B69" s="58" t="s">
        <v>420</v>
      </c>
      <c r="C69" s="61">
        <v>1986</v>
      </c>
      <c r="D69" s="61">
        <v>1849</v>
      </c>
      <c r="E69" s="61">
        <v>78666</v>
      </c>
      <c r="F69" s="61">
        <v>747326</v>
      </c>
      <c r="G69" s="20">
        <f t="shared" si="1"/>
        <v>404.17847485127095</v>
      </c>
      <c r="H69" s="20" t="s">
        <v>479</v>
      </c>
    </row>
    <row r="70" spans="1:8" x14ac:dyDescent="0.25">
      <c r="A70" s="56">
        <v>17020</v>
      </c>
      <c r="B70" s="56" t="s">
        <v>421</v>
      </c>
      <c r="C70" s="59">
        <v>1989</v>
      </c>
      <c r="D70" s="59">
        <v>3708</v>
      </c>
      <c r="E70" s="59">
        <v>156459</v>
      </c>
      <c r="F70" s="59">
        <v>1486363</v>
      </c>
      <c r="G70" s="20">
        <f t="shared" si="1"/>
        <v>400.85302049622436</v>
      </c>
      <c r="H70" s="20" t="s">
        <v>479</v>
      </c>
    </row>
    <row r="71" spans="1:8" x14ac:dyDescent="0.25">
      <c r="A71" s="58">
        <v>17021</v>
      </c>
      <c r="B71" s="58" t="s">
        <v>422</v>
      </c>
      <c r="C71" s="61">
        <v>1989</v>
      </c>
      <c r="D71" s="63">
        <v>144</v>
      </c>
      <c r="E71" s="61">
        <v>7980</v>
      </c>
      <c r="F71" s="61">
        <v>31919</v>
      </c>
      <c r="G71" s="20">
        <f t="shared" si="1"/>
        <v>221.65972222222223</v>
      </c>
      <c r="H71" s="20" t="s">
        <v>479</v>
      </c>
    </row>
    <row r="72" spans="1:8" x14ac:dyDescent="0.25">
      <c r="A72" s="40">
        <v>8023</v>
      </c>
      <c r="B72" s="40" t="s">
        <v>90</v>
      </c>
      <c r="C72" s="41">
        <v>2005</v>
      </c>
      <c r="D72" s="41">
        <v>5658</v>
      </c>
      <c r="E72" s="41">
        <v>508356</v>
      </c>
      <c r="F72" s="45">
        <v>3741499</v>
      </c>
      <c r="G72" s="20">
        <f t="shared" si="1"/>
        <v>661.27589254153406</v>
      </c>
      <c r="H72" s="20" t="s">
        <v>86</v>
      </c>
    </row>
    <row r="73" spans="1:8" x14ac:dyDescent="0.25">
      <c r="A73" s="69">
        <v>43027</v>
      </c>
      <c r="B73" s="69" t="s">
        <v>654</v>
      </c>
      <c r="C73" s="73">
        <v>1990</v>
      </c>
      <c r="D73" s="114">
        <v>302</v>
      </c>
      <c r="E73" s="114">
        <v>6158</v>
      </c>
      <c r="F73" s="115">
        <v>43724.7</v>
      </c>
      <c r="G73" s="20">
        <f t="shared" si="1"/>
        <v>144.78377483443708</v>
      </c>
      <c r="H73" s="20" t="s">
        <v>778</v>
      </c>
    </row>
    <row r="74" spans="1:8" x14ac:dyDescent="0.25">
      <c r="A74" s="71">
        <v>43028</v>
      </c>
      <c r="B74" s="71" t="s">
        <v>655</v>
      </c>
      <c r="C74" s="75">
        <v>1996</v>
      </c>
      <c r="D74" s="114">
        <v>4679</v>
      </c>
      <c r="E74" s="114">
        <v>238324</v>
      </c>
      <c r="F74" s="115">
        <v>1906595.99</v>
      </c>
      <c r="G74" s="20">
        <f t="shared" si="1"/>
        <v>407.47937379782002</v>
      </c>
      <c r="H74" s="20" t="s">
        <v>778</v>
      </c>
    </row>
    <row r="75" spans="1:8" x14ac:dyDescent="0.25">
      <c r="A75" s="56">
        <v>17022</v>
      </c>
      <c r="B75" s="56" t="s">
        <v>423</v>
      </c>
      <c r="C75" s="59">
        <v>2002</v>
      </c>
      <c r="D75" s="59">
        <v>8175</v>
      </c>
      <c r="E75" s="59">
        <v>357862</v>
      </c>
      <c r="F75" s="59">
        <v>3243662</v>
      </c>
      <c r="G75" s="20">
        <f t="shared" si="1"/>
        <v>396.77822629969421</v>
      </c>
      <c r="H75" s="20" t="s">
        <v>479</v>
      </c>
    </row>
    <row r="76" spans="1:8" x14ac:dyDescent="0.25">
      <c r="A76" s="58">
        <v>17234</v>
      </c>
      <c r="B76" s="58" t="s">
        <v>424</v>
      </c>
      <c r="C76" s="61">
        <v>1989</v>
      </c>
      <c r="D76" s="63">
        <v>235</v>
      </c>
      <c r="E76" s="61">
        <v>11502</v>
      </c>
      <c r="F76" s="61">
        <v>74763</v>
      </c>
      <c r="G76" s="20">
        <f t="shared" si="1"/>
        <v>318.1404255319149</v>
      </c>
      <c r="H76" s="20" t="s">
        <v>479</v>
      </c>
    </row>
    <row r="77" spans="1:8" x14ac:dyDescent="0.25">
      <c r="A77" s="69">
        <v>43029</v>
      </c>
      <c r="B77" s="69" t="s">
        <v>656</v>
      </c>
      <c r="C77" s="73">
        <v>1989</v>
      </c>
      <c r="D77" s="114">
        <v>509</v>
      </c>
      <c r="E77" s="114">
        <v>13631</v>
      </c>
      <c r="F77" s="115">
        <v>99509.36</v>
      </c>
      <c r="G77" s="20">
        <f t="shared" si="1"/>
        <v>195.49972495088409</v>
      </c>
      <c r="H77" s="20" t="s">
        <v>778</v>
      </c>
    </row>
    <row r="78" spans="1:8" x14ac:dyDescent="0.25">
      <c r="A78" s="56">
        <v>17023</v>
      </c>
      <c r="B78" s="56" t="s">
        <v>425</v>
      </c>
      <c r="C78" s="59">
        <v>1990</v>
      </c>
      <c r="D78" s="59">
        <v>38169</v>
      </c>
      <c r="E78" s="59">
        <v>1354459</v>
      </c>
      <c r="F78" s="59">
        <v>13784330</v>
      </c>
      <c r="G78" s="20">
        <f t="shared" si="1"/>
        <v>361.13940632450419</v>
      </c>
      <c r="H78" s="20" t="s">
        <v>479</v>
      </c>
    </row>
    <row r="79" spans="1:8" x14ac:dyDescent="0.25">
      <c r="A79" s="58">
        <v>17029</v>
      </c>
      <c r="B79" s="58" t="s">
        <v>426</v>
      </c>
      <c r="C79" s="61">
        <v>2007</v>
      </c>
      <c r="D79" s="63">
        <v>263</v>
      </c>
      <c r="E79" s="61">
        <v>18782</v>
      </c>
      <c r="F79" s="61">
        <v>112690</v>
      </c>
      <c r="G79" s="20">
        <f t="shared" si="1"/>
        <v>428.4790874524715</v>
      </c>
      <c r="H79" s="20" t="s">
        <v>479</v>
      </c>
    </row>
    <row r="80" spans="1:8" x14ac:dyDescent="0.25">
      <c r="A80" s="56">
        <v>17024</v>
      </c>
      <c r="B80" s="56" t="s">
        <v>427</v>
      </c>
      <c r="C80" s="59">
        <v>1989</v>
      </c>
      <c r="D80" s="59">
        <v>1176</v>
      </c>
      <c r="E80" s="59">
        <v>161020</v>
      </c>
      <c r="F80" s="59">
        <v>966118</v>
      </c>
      <c r="G80" s="20">
        <f t="shared" si="1"/>
        <v>821.5289115646259</v>
      </c>
      <c r="H80" s="20" t="s">
        <v>479</v>
      </c>
    </row>
    <row r="81" spans="1:8" x14ac:dyDescent="0.25">
      <c r="A81" s="71">
        <v>43030</v>
      </c>
      <c r="B81" s="71" t="s">
        <v>657</v>
      </c>
      <c r="C81" s="75">
        <v>1990</v>
      </c>
      <c r="D81" s="114">
        <v>793</v>
      </c>
      <c r="E81" s="114">
        <v>22289</v>
      </c>
      <c r="F81" s="115">
        <v>131507.14000000001</v>
      </c>
      <c r="G81" s="20">
        <f t="shared" si="1"/>
        <v>165.8349810844893</v>
      </c>
      <c r="H81" s="20" t="s">
        <v>778</v>
      </c>
    </row>
    <row r="82" spans="1:8" x14ac:dyDescent="0.25">
      <c r="A82" s="58">
        <v>17025</v>
      </c>
      <c r="B82" s="58" t="s">
        <v>428</v>
      </c>
      <c r="C82" s="61">
        <v>1989</v>
      </c>
      <c r="D82" s="61">
        <v>1126</v>
      </c>
      <c r="E82" s="61">
        <v>51709</v>
      </c>
      <c r="F82" s="61">
        <v>349369</v>
      </c>
      <c r="G82" s="20">
        <f t="shared" si="1"/>
        <v>310.27442273534638</v>
      </c>
      <c r="H82" s="20" t="s">
        <v>479</v>
      </c>
    </row>
    <row r="83" spans="1:8" x14ac:dyDescent="0.25">
      <c r="A83" s="69">
        <v>43031</v>
      </c>
      <c r="B83" s="69" t="s">
        <v>658</v>
      </c>
      <c r="C83" s="73">
        <v>2005</v>
      </c>
      <c r="D83" s="114">
        <v>1616</v>
      </c>
      <c r="E83" s="114">
        <v>104174</v>
      </c>
      <c r="F83" s="115">
        <v>458367.49</v>
      </c>
      <c r="G83" s="20">
        <f t="shared" si="1"/>
        <v>283.64324876237623</v>
      </c>
      <c r="H83" s="20" t="s">
        <v>778</v>
      </c>
    </row>
    <row r="84" spans="1:8" x14ac:dyDescent="0.25">
      <c r="A84" s="56">
        <v>17026</v>
      </c>
      <c r="B84" s="56" t="s">
        <v>429</v>
      </c>
      <c r="C84" s="59">
        <v>1989</v>
      </c>
      <c r="D84" s="62">
        <v>433</v>
      </c>
      <c r="E84" s="59">
        <v>21619</v>
      </c>
      <c r="F84" s="59">
        <v>142036</v>
      </c>
      <c r="G84" s="20">
        <f t="shared" si="1"/>
        <v>328.02771362586606</v>
      </c>
      <c r="H84" s="20" t="s">
        <v>479</v>
      </c>
    </row>
    <row r="85" spans="1:8" x14ac:dyDescent="0.25">
      <c r="A85" s="40">
        <v>8024</v>
      </c>
      <c r="B85" s="40" t="s">
        <v>91</v>
      </c>
      <c r="C85" s="41">
        <v>2007</v>
      </c>
      <c r="D85" s="40">
        <v>454</v>
      </c>
      <c r="E85" s="41">
        <v>30268</v>
      </c>
      <c r="F85" s="45">
        <v>161026</v>
      </c>
      <c r="G85" s="20">
        <f t="shared" si="1"/>
        <v>354.68281938325993</v>
      </c>
      <c r="H85" s="20" t="s">
        <v>86</v>
      </c>
    </row>
    <row r="86" spans="1:8" x14ac:dyDescent="0.25">
      <c r="A86" s="71">
        <v>43032</v>
      </c>
      <c r="B86" s="71" t="s">
        <v>659</v>
      </c>
      <c r="C86" s="75">
        <v>1990</v>
      </c>
      <c r="D86" s="114">
        <v>700</v>
      </c>
      <c r="E86" s="114">
        <v>23058</v>
      </c>
      <c r="F86" s="115">
        <v>112984.18</v>
      </c>
      <c r="G86" s="20">
        <f t="shared" si="1"/>
        <v>161.40597142857141</v>
      </c>
      <c r="H86" s="20" t="s">
        <v>778</v>
      </c>
    </row>
    <row r="87" spans="1:8" x14ac:dyDescent="0.25">
      <c r="A87" s="69">
        <v>43033</v>
      </c>
      <c r="B87" s="69" t="s">
        <v>660</v>
      </c>
      <c r="C87" s="73">
        <v>1989</v>
      </c>
      <c r="D87" s="114">
        <v>816</v>
      </c>
      <c r="E87" s="114">
        <v>41695</v>
      </c>
      <c r="F87" s="115">
        <v>208474.39</v>
      </c>
      <c r="G87" s="20">
        <f t="shared" si="1"/>
        <v>255.4833210784314</v>
      </c>
      <c r="H87" s="20" t="s">
        <v>778</v>
      </c>
    </row>
    <row r="88" spans="1:8" x14ac:dyDescent="0.25">
      <c r="A88" s="71">
        <v>43034</v>
      </c>
      <c r="B88" s="71" t="s">
        <v>661</v>
      </c>
      <c r="C88" s="75">
        <v>1988</v>
      </c>
      <c r="D88" s="114">
        <v>672</v>
      </c>
      <c r="E88" s="114">
        <v>18581</v>
      </c>
      <c r="F88" s="115">
        <v>96619.17</v>
      </c>
      <c r="G88" s="20">
        <f t="shared" si="1"/>
        <v>143.77852678571429</v>
      </c>
      <c r="H88" s="20" t="s">
        <v>778</v>
      </c>
    </row>
    <row r="89" spans="1:8" x14ac:dyDescent="0.25">
      <c r="A89" s="58">
        <v>17027</v>
      </c>
      <c r="B89" s="58" t="s">
        <v>430</v>
      </c>
      <c r="C89" s="61">
        <v>2008</v>
      </c>
      <c r="D89" s="61">
        <v>2785</v>
      </c>
      <c r="E89" s="61">
        <v>160645</v>
      </c>
      <c r="F89" s="61">
        <v>1220898</v>
      </c>
      <c r="G89" s="20">
        <f t="shared" si="1"/>
        <v>438.38348294434468</v>
      </c>
      <c r="H89" s="20" t="s">
        <v>479</v>
      </c>
    </row>
    <row r="90" spans="1:8" x14ac:dyDescent="0.25">
      <c r="A90" s="40">
        <v>8025</v>
      </c>
      <c r="B90" s="40" t="s">
        <v>92</v>
      </c>
      <c r="C90" s="41">
        <v>2000</v>
      </c>
      <c r="D90" s="41">
        <v>1843</v>
      </c>
      <c r="E90" s="41">
        <v>82788</v>
      </c>
      <c r="F90" s="45">
        <v>678860</v>
      </c>
      <c r="G90" s="20">
        <f t="shared" si="1"/>
        <v>368.34508952794357</v>
      </c>
      <c r="H90" s="20" t="s">
        <v>86</v>
      </c>
    </row>
    <row r="91" spans="1:8" x14ac:dyDescent="0.25">
      <c r="A91" s="40">
        <v>8026</v>
      </c>
      <c r="B91" s="40" t="s">
        <v>93</v>
      </c>
      <c r="C91" s="41">
        <v>1985</v>
      </c>
      <c r="D91" s="40">
        <v>171</v>
      </c>
      <c r="E91" s="41">
        <v>26342</v>
      </c>
      <c r="F91" s="45">
        <v>153308</v>
      </c>
      <c r="G91" s="20">
        <f t="shared" si="1"/>
        <v>896.53801169590645</v>
      </c>
      <c r="H91" s="20" t="s">
        <v>86</v>
      </c>
    </row>
    <row r="92" spans="1:8" x14ac:dyDescent="0.25">
      <c r="A92" s="56">
        <v>17028</v>
      </c>
      <c r="B92" s="56" t="s">
        <v>431</v>
      </c>
      <c r="C92" s="59">
        <v>2005</v>
      </c>
      <c r="D92" s="62">
        <v>275</v>
      </c>
      <c r="E92" s="59">
        <v>26791</v>
      </c>
      <c r="F92" s="59">
        <v>141993</v>
      </c>
      <c r="G92" s="20">
        <f t="shared" si="1"/>
        <v>516.33818181818185</v>
      </c>
      <c r="H92" s="20" t="s">
        <v>479</v>
      </c>
    </row>
    <row r="93" spans="1:8" x14ac:dyDescent="0.25">
      <c r="A93" s="69">
        <v>43035</v>
      </c>
      <c r="B93" s="69" t="s">
        <v>662</v>
      </c>
      <c r="C93" s="73">
        <v>1990</v>
      </c>
      <c r="D93" s="114">
        <v>284</v>
      </c>
      <c r="E93" s="114">
        <v>5084</v>
      </c>
      <c r="F93" s="115">
        <v>36603.24</v>
      </c>
      <c r="G93" s="20">
        <f t="shared" si="1"/>
        <v>128.88464788732395</v>
      </c>
      <c r="H93" s="20" t="s">
        <v>778</v>
      </c>
    </row>
    <row r="94" spans="1:8" x14ac:dyDescent="0.25">
      <c r="A94" s="58">
        <v>17031</v>
      </c>
      <c r="B94" s="58" t="s">
        <v>432</v>
      </c>
      <c r="C94" s="61">
        <v>1989</v>
      </c>
      <c r="D94" s="63">
        <v>203</v>
      </c>
      <c r="E94" s="61">
        <v>10928</v>
      </c>
      <c r="F94" s="61">
        <v>71032</v>
      </c>
      <c r="G94" s="20">
        <f t="shared" si="1"/>
        <v>349.9113300492611</v>
      </c>
      <c r="H94" s="20" t="s">
        <v>479</v>
      </c>
    </row>
    <row r="95" spans="1:8" x14ac:dyDescent="0.25">
      <c r="A95" s="56">
        <v>17030</v>
      </c>
      <c r="B95" s="56" t="s">
        <v>433</v>
      </c>
      <c r="C95" s="59">
        <v>1989</v>
      </c>
      <c r="D95" s="62">
        <v>594</v>
      </c>
      <c r="E95" s="59">
        <v>26183</v>
      </c>
      <c r="F95" s="59">
        <v>186949</v>
      </c>
      <c r="G95" s="20">
        <f t="shared" si="1"/>
        <v>314.72895622895624</v>
      </c>
      <c r="H95" s="20" t="s">
        <v>479</v>
      </c>
    </row>
    <row r="96" spans="1:8" x14ac:dyDescent="0.25">
      <c r="A96" s="40">
        <v>8027</v>
      </c>
      <c r="B96" s="40" t="s">
        <v>94</v>
      </c>
      <c r="C96" s="41">
        <v>1988</v>
      </c>
      <c r="D96" s="40">
        <v>537</v>
      </c>
      <c r="E96" s="41">
        <v>36128</v>
      </c>
      <c r="F96" s="45">
        <v>268793</v>
      </c>
      <c r="G96" s="20">
        <f t="shared" si="1"/>
        <v>500.54562383612665</v>
      </c>
      <c r="H96" s="20" t="s">
        <v>86</v>
      </c>
    </row>
    <row r="97" spans="1:8" x14ac:dyDescent="0.25">
      <c r="A97" s="71">
        <v>43036</v>
      </c>
      <c r="B97" s="71" t="s">
        <v>663</v>
      </c>
      <c r="C97" s="75">
        <v>1990</v>
      </c>
      <c r="D97" s="118">
        <v>1989</v>
      </c>
      <c r="E97" s="118">
        <v>47678</v>
      </c>
      <c r="F97" s="119">
        <v>333742.77</v>
      </c>
      <c r="G97" s="20">
        <f t="shared" si="1"/>
        <v>167.79425339366517</v>
      </c>
      <c r="H97" s="20" t="s">
        <v>778</v>
      </c>
    </row>
    <row r="98" spans="1:8" x14ac:dyDescent="0.25">
      <c r="A98" s="40">
        <v>8028</v>
      </c>
      <c r="B98" s="40" t="s">
        <v>95</v>
      </c>
      <c r="C98" s="41">
        <v>2001</v>
      </c>
      <c r="D98" s="41">
        <v>1698</v>
      </c>
      <c r="E98" s="41">
        <v>81048</v>
      </c>
      <c r="F98" s="45">
        <v>567337</v>
      </c>
      <c r="G98" s="20">
        <f t="shared" si="1"/>
        <v>334.12073027090696</v>
      </c>
      <c r="H98" s="20" t="s">
        <v>86</v>
      </c>
    </row>
    <row r="99" spans="1:8" x14ac:dyDescent="0.25">
      <c r="A99" s="40">
        <v>8029</v>
      </c>
      <c r="B99" s="40" t="s">
        <v>96</v>
      </c>
      <c r="C99" s="41">
        <v>2000</v>
      </c>
      <c r="D99" s="41">
        <v>2871</v>
      </c>
      <c r="E99" s="41">
        <v>366880</v>
      </c>
      <c r="F99" s="45">
        <v>3206533</v>
      </c>
      <c r="G99" s="20">
        <f t="shared" si="1"/>
        <v>1116.8697318007662</v>
      </c>
      <c r="H99" s="20" t="s">
        <v>86</v>
      </c>
    </row>
    <row r="100" spans="1:8" x14ac:dyDescent="0.25">
      <c r="A100" s="40">
        <v>8030</v>
      </c>
      <c r="B100" s="40" t="s">
        <v>97</v>
      </c>
      <c r="C100" s="41">
        <v>2008</v>
      </c>
      <c r="D100" s="41">
        <v>3689</v>
      </c>
      <c r="E100" s="41">
        <v>698824</v>
      </c>
      <c r="F100" s="45">
        <v>3284470</v>
      </c>
      <c r="G100" s="20">
        <f t="shared" si="1"/>
        <v>890.34155597722963</v>
      </c>
      <c r="H100" s="20" t="s">
        <v>86</v>
      </c>
    </row>
    <row r="101" spans="1:8" x14ac:dyDescent="0.25">
      <c r="A101" s="58">
        <v>17032</v>
      </c>
      <c r="B101" s="58" t="s">
        <v>434</v>
      </c>
      <c r="C101" s="61">
        <v>1986</v>
      </c>
      <c r="D101" s="61">
        <v>5123</v>
      </c>
      <c r="E101" s="61">
        <v>280112</v>
      </c>
      <c r="F101" s="61">
        <v>2773112</v>
      </c>
      <c r="G101" s="20">
        <f t="shared" si="1"/>
        <v>541.30626585984771</v>
      </c>
      <c r="H101" s="20" t="s">
        <v>479</v>
      </c>
    </row>
    <row r="102" spans="1:8" x14ac:dyDescent="0.25">
      <c r="A102" s="40">
        <v>8031</v>
      </c>
      <c r="B102" s="40" t="s">
        <v>98</v>
      </c>
      <c r="C102" s="41">
        <v>1989</v>
      </c>
      <c r="D102" s="41">
        <v>2763</v>
      </c>
      <c r="E102" s="41">
        <v>114897</v>
      </c>
      <c r="F102" s="45">
        <v>1137479</v>
      </c>
      <c r="G102" s="20">
        <f t="shared" si="1"/>
        <v>411.68259138617447</v>
      </c>
      <c r="H102" s="20" t="s">
        <v>86</v>
      </c>
    </row>
    <row r="103" spans="1:8" x14ac:dyDescent="0.25">
      <c r="A103" s="69">
        <v>43037</v>
      </c>
      <c r="B103" s="69" t="s">
        <v>664</v>
      </c>
      <c r="C103" s="73">
        <v>2002</v>
      </c>
      <c r="D103" s="118">
        <v>6939</v>
      </c>
      <c r="E103" s="118">
        <v>328890</v>
      </c>
      <c r="F103" s="119">
        <v>3226407.1</v>
      </c>
      <c r="G103" s="20">
        <f t="shared" si="1"/>
        <v>464.96715665081427</v>
      </c>
      <c r="H103" s="20" t="s">
        <v>778</v>
      </c>
    </row>
    <row r="104" spans="1:8" x14ac:dyDescent="0.25">
      <c r="A104" s="40">
        <v>8034</v>
      </c>
      <c r="B104" s="40" t="s">
        <v>99</v>
      </c>
      <c r="C104" s="41">
        <v>2005</v>
      </c>
      <c r="D104" s="40">
        <v>865</v>
      </c>
      <c r="E104" s="41">
        <v>62133</v>
      </c>
      <c r="F104" s="45">
        <v>459783</v>
      </c>
      <c r="G104" s="20">
        <f t="shared" si="1"/>
        <v>531.54104046242776</v>
      </c>
      <c r="H104" s="20" t="s">
        <v>86</v>
      </c>
    </row>
    <row r="105" spans="1:8" x14ac:dyDescent="0.25">
      <c r="A105" s="56">
        <v>17033</v>
      </c>
      <c r="B105" s="56" t="s">
        <v>435</v>
      </c>
      <c r="C105" s="59">
        <v>1986</v>
      </c>
      <c r="D105" s="59">
        <v>5734</v>
      </c>
      <c r="E105" s="59">
        <v>351782</v>
      </c>
      <c r="F105" s="59">
        <v>2761487</v>
      </c>
      <c r="G105" s="20">
        <f t="shared" si="1"/>
        <v>481.59870945238924</v>
      </c>
      <c r="H105" s="20" t="s">
        <v>479</v>
      </c>
    </row>
    <row r="106" spans="1:8" x14ac:dyDescent="0.25">
      <c r="A106" s="40">
        <v>8033</v>
      </c>
      <c r="B106" s="40" t="s">
        <v>100</v>
      </c>
      <c r="C106" s="41">
        <v>2007</v>
      </c>
      <c r="D106" s="41">
        <v>10106</v>
      </c>
      <c r="E106" s="41">
        <v>752902</v>
      </c>
      <c r="F106" s="45">
        <v>5661820</v>
      </c>
      <c r="G106" s="20">
        <f t="shared" si="1"/>
        <v>560.24341975064317</v>
      </c>
      <c r="H106" s="20" t="s">
        <v>86</v>
      </c>
    </row>
    <row r="107" spans="1:8" x14ac:dyDescent="0.25">
      <c r="A107" s="40">
        <v>8032</v>
      </c>
      <c r="B107" s="40" t="s">
        <v>101</v>
      </c>
      <c r="C107" s="41">
        <v>1994</v>
      </c>
      <c r="D107" s="41">
        <v>2367</v>
      </c>
      <c r="E107" s="41">
        <v>209531</v>
      </c>
      <c r="F107" s="45">
        <v>1634345</v>
      </c>
      <c r="G107" s="20">
        <f t="shared" si="1"/>
        <v>690.47106041402617</v>
      </c>
      <c r="H107" s="20" t="s">
        <v>86</v>
      </c>
    </row>
    <row r="108" spans="1:8" x14ac:dyDescent="0.25">
      <c r="A108" s="40">
        <v>8035</v>
      </c>
      <c r="B108" s="40" t="s">
        <v>102</v>
      </c>
      <c r="C108" s="41">
        <v>2010</v>
      </c>
      <c r="D108" s="41">
        <v>16220</v>
      </c>
      <c r="E108" s="41">
        <v>1050329</v>
      </c>
      <c r="F108" s="45">
        <v>6094076</v>
      </c>
      <c r="G108" s="20">
        <f t="shared" si="1"/>
        <v>375.71368680641183</v>
      </c>
      <c r="H108" s="20" t="s">
        <v>86</v>
      </c>
    </row>
    <row r="109" spans="1:8" x14ac:dyDescent="0.25">
      <c r="A109" s="40">
        <v>8037</v>
      </c>
      <c r="B109" s="40" t="s">
        <v>103</v>
      </c>
      <c r="C109" s="41">
        <v>1999</v>
      </c>
      <c r="D109" s="41">
        <v>1928</v>
      </c>
      <c r="E109" s="41">
        <v>92041</v>
      </c>
      <c r="F109" s="45">
        <v>771302</v>
      </c>
      <c r="G109" s="20">
        <f t="shared" si="1"/>
        <v>400.05290456431533</v>
      </c>
      <c r="H109" s="20" t="s">
        <v>86</v>
      </c>
    </row>
    <row r="110" spans="1:8" x14ac:dyDescent="0.25">
      <c r="A110" s="40">
        <v>8038</v>
      </c>
      <c r="B110" s="40" t="s">
        <v>104</v>
      </c>
      <c r="C110" s="41">
        <v>2004</v>
      </c>
      <c r="D110" s="41">
        <v>1599</v>
      </c>
      <c r="E110" s="41">
        <v>88723</v>
      </c>
      <c r="F110" s="45">
        <v>416996</v>
      </c>
      <c r="G110" s="20">
        <f t="shared" si="1"/>
        <v>260.78549093183238</v>
      </c>
      <c r="H110" s="20" t="s">
        <v>86</v>
      </c>
    </row>
    <row r="111" spans="1:8" x14ac:dyDescent="0.25">
      <c r="A111" s="40">
        <v>8036</v>
      </c>
      <c r="B111" s="40" t="s">
        <v>105</v>
      </c>
      <c r="C111" s="41">
        <v>1989</v>
      </c>
      <c r="D111" s="40">
        <v>142</v>
      </c>
      <c r="E111" s="41">
        <v>8962</v>
      </c>
      <c r="F111" s="45">
        <v>53772</v>
      </c>
      <c r="G111" s="20">
        <f t="shared" si="1"/>
        <v>378.67605633802816</v>
      </c>
      <c r="H111" s="20" t="s">
        <v>86</v>
      </c>
    </row>
    <row r="112" spans="1:8" x14ac:dyDescent="0.25">
      <c r="A112" s="58">
        <v>17034</v>
      </c>
      <c r="B112" s="58" t="s">
        <v>436</v>
      </c>
      <c r="C112" s="61">
        <v>1996</v>
      </c>
      <c r="D112" s="61">
        <v>21941</v>
      </c>
      <c r="E112" s="61">
        <v>1030882</v>
      </c>
      <c r="F112" s="61">
        <v>10790237</v>
      </c>
      <c r="G112" s="20">
        <f t="shared" si="1"/>
        <v>491.78419397475045</v>
      </c>
      <c r="H112" s="20" t="s">
        <v>479</v>
      </c>
    </row>
    <row r="113" spans="1:8" x14ac:dyDescent="0.25">
      <c r="A113" s="71">
        <v>43903</v>
      </c>
      <c r="B113" s="71" t="s">
        <v>665</v>
      </c>
      <c r="C113" s="75">
        <v>1990</v>
      </c>
      <c r="D113" s="118">
        <v>2863</v>
      </c>
      <c r="E113" s="118">
        <v>89025</v>
      </c>
      <c r="F113" s="119">
        <v>952566.45</v>
      </c>
      <c r="G113" s="20">
        <f t="shared" si="1"/>
        <v>332.71618931191057</v>
      </c>
      <c r="H113" s="20" t="s">
        <v>778</v>
      </c>
    </row>
    <row r="114" spans="1:8" x14ac:dyDescent="0.25">
      <c r="A114" s="69">
        <v>43038</v>
      </c>
      <c r="B114" s="69" t="s">
        <v>666</v>
      </c>
      <c r="C114" s="73">
        <v>1997</v>
      </c>
      <c r="D114" s="118">
        <v>49419</v>
      </c>
      <c r="E114" s="118">
        <v>2040753</v>
      </c>
      <c r="F114" s="119">
        <v>17142322</v>
      </c>
      <c r="G114" s="20">
        <f t="shared" si="1"/>
        <v>346.87715251219169</v>
      </c>
      <c r="H114" s="20" t="s">
        <v>778</v>
      </c>
    </row>
    <row r="115" spans="1:8" x14ac:dyDescent="0.25">
      <c r="A115" s="56">
        <v>17035</v>
      </c>
      <c r="B115" s="56" t="s">
        <v>437</v>
      </c>
      <c r="C115" s="59">
        <v>1990</v>
      </c>
      <c r="D115" s="62">
        <v>425</v>
      </c>
      <c r="E115" s="59">
        <v>16530</v>
      </c>
      <c r="F115" s="59">
        <v>99182</v>
      </c>
      <c r="G115" s="20">
        <f t="shared" si="1"/>
        <v>233.36941176470589</v>
      </c>
      <c r="H115" s="20" t="s">
        <v>479</v>
      </c>
    </row>
    <row r="116" spans="1:8" x14ac:dyDescent="0.25">
      <c r="A116" s="58">
        <v>17036</v>
      </c>
      <c r="B116" s="58" t="s">
        <v>438</v>
      </c>
      <c r="C116" s="61">
        <v>1997</v>
      </c>
      <c r="D116" s="61">
        <v>2730</v>
      </c>
      <c r="E116" s="61">
        <v>106485</v>
      </c>
      <c r="F116" s="61">
        <v>807048</v>
      </c>
      <c r="G116" s="20">
        <f t="shared" si="1"/>
        <v>295.62197802197801</v>
      </c>
      <c r="H116" s="20" t="s">
        <v>479</v>
      </c>
    </row>
    <row r="117" spans="1:8" x14ac:dyDescent="0.25">
      <c r="A117" s="56">
        <v>17037</v>
      </c>
      <c r="B117" s="56" t="s">
        <v>439</v>
      </c>
      <c r="C117" s="59">
        <v>1989</v>
      </c>
      <c r="D117" s="62">
        <v>308</v>
      </c>
      <c r="E117" s="59">
        <v>17960</v>
      </c>
      <c r="F117" s="59">
        <v>107761</v>
      </c>
      <c r="G117" s="20">
        <f t="shared" si="1"/>
        <v>349.8733766233766</v>
      </c>
      <c r="H117" s="20" t="s">
        <v>479</v>
      </c>
    </row>
    <row r="118" spans="1:8" x14ac:dyDescent="0.25">
      <c r="A118" s="40">
        <v>8039</v>
      </c>
      <c r="B118" s="40" t="s">
        <v>106</v>
      </c>
      <c r="C118" s="41">
        <v>2005</v>
      </c>
      <c r="D118" s="40">
        <v>349</v>
      </c>
      <c r="E118" s="41">
        <v>34537</v>
      </c>
      <c r="F118" s="45">
        <v>238305</v>
      </c>
      <c r="G118" s="20">
        <f t="shared" si="1"/>
        <v>682.82234957020057</v>
      </c>
      <c r="H118" s="20" t="s">
        <v>86</v>
      </c>
    </row>
    <row r="119" spans="1:8" x14ac:dyDescent="0.25">
      <c r="A119" s="58">
        <v>17038</v>
      </c>
      <c r="B119" s="58" t="s">
        <v>440</v>
      </c>
      <c r="C119" s="61">
        <v>2009</v>
      </c>
      <c r="D119" s="63">
        <v>286</v>
      </c>
      <c r="E119" s="61">
        <v>66721</v>
      </c>
      <c r="F119" s="61">
        <v>287715</v>
      </c>
      <c r="G119" s="20">
        <f t="shared" si="1"/>
        <v>1005.9965034965035</v>
      </c>
      <c r="H119" s="20" t="s">
        <v>479</v>
      </c>
    </row>
    <row r="120" spans="1:8" x14ac:dyDescent="0.25">
      <c r="A120" s="56">
        <v>17039</v>
      </c>
      <c r="B120" s="56" t="s">
        <v>441</v>
      </c>
      <c r="C120" s="59">
        <v>1989</v>
      </c>
      <c r="D120" s="59">
        <v>4117</v>
      </c>
      <c r="E120" s="59">
        <v>166192</v>
      </c>
      <c r="F120" s="59">
        <v>1595447</v>
      </c>
      <c r="G120" s="20">
        <f t="shared" si="1"/>
        <v>387.52659703667717</v>
      </c>
      <c r="H120" s="20" t="s">
        <v>479</v>
      </c>
    </row>
    <row r="121" spans="1:8" x14ac:dyDescent="0.25">
      <c r="A121" s="58">
        <v>17040</v>
      </c>
      <c r="B121" s="58" t="s">
        <v>442</v>
      </c>
      <c r="C121" s="61">
        <v>1986</v>
      </c>
      <c r="D121" s="63">
        <v>402</v>
      </c>
      <c r="E121" s="61">
        <v>29644</v>
      </c>
      <c r="F121" s="61">
        <v>166007</v>
      </c>
      <c r="G121" s="20">
        <f t="shared" si="1"/>
        <v>412.95273631840797</v>
      </c>
      <c r="H121" s="20" t="s">
        <v>479</v>
      </c>
    </row>
    <row r="122" spans="1:8" x14ac:dyDescent="0.25">
      <c r="A122" s="40">
        <v>8040</v>
      </c>
      <c r="B122" s="40" t="s">
        <v>107</v>
      </c>
      <c r="C122" s="41">
        <v>2012</v>
      </c>
      <c r="D122" s="41">
        <v>11270</v>
      </c>
      <c r="E122" s="41">
        <v>734514</v>
      </c>
      <c r="F122" s="45">
        <v>4777987</v>
      </c>
      <c r="G122" s="20">
        <f t="shared" si="1"/>
        <v>423.95625554569654</v>
      </c>
      <c r="H122" s="20" t="s">
        <v>86</v>
      </c>
    </row>
    <row r="123" spans="1:8" x14ac:dyDescent="0.25">
      <c r="A123" s="71">
        <v>43907</v>
      </c>
      <c r="B123" s="71" t="s">
        <v>667</v>
      </c>
      <c r="C123" s="75">
        <v>2001</v>
      </c>
      <c r="D123" s="118">
        <v>3981</v>
      </c>
      <c r="E123" s="118">
        <v>155624</v>
      </c>
      <c r="F123" s="119">
        <v>1328511.72</v>
      </c>
      <c r="G123" s="20">
        <f t="shared" si="1"/>
        <v>333.71306706857575</v>
      </c>
      <c r="H123" s="20" t="s">
        <v>778</v>
      </c>
    </row>
    <row r="124" spans="1:8" x14ac:dyDescent="0.25">
      <c r="A124" s="40">
        <v>8041</v>
      </c>
      <c r="B124" s="40" t="s">
        <v>108</v>
      </c>
      <c r="C124" s="41">
        <v>2004</v>
      </c>
      <c r="D124" s="41">
        <v>9145</v>
      </c>
      <c r="E124" s="41">
        <v>669832</v>
      </c>
      <c r="F124" s="45">
        <v>4923265</v>
      </c>
      <c r="G124" s="20">
        <f t="shared" si="1"/>
        <v>538.35593220338978</v>
      </c>
      <c r="H124" s="20" t="s">
        <v>86</v>
      </c>
    </row>
    <row r="125" spans="1:8" x14ac:dyDescent="0.25">
      <c r="A125" s="40">
        <v>8042</v>
      </c>
      <c r="B125" s="40" t="s">
        <v>109</v>
      </c>
      <c r="C125" s="41">
        <v>2004</v>
      </c>
      <c r="D125" s="41">
        <v>1738</v>
      </c>
      <c r="E125" s="41">
        <v>153236</v>
      </c>
      <c r="F125" s="45">
        <v>1228956</v>
      </c>
      <c r="G125" s="20">
        <f t="shared" si="1"/>
        <v>707.10932105868812</v>
      </c>
      <c r="H125" s="20" t="s">
        <v>86</v>
      </c>
    </row>
    <row r="126" spans="1:8" x14ac:dyDescent="0.25">
      <c r="A126" s="56">
        <v>17041</v>
      </c>
      <c r="B126" s="56" t="s">
        <v>443</v>
      </c>
      <c r="C126" s="59">
        <v>1989</v>
      </c>
      <c r="D126" s="62">
        <v>378</v>
      </c>
      <c r="E126" s="59">
        <v>13131</v>
      </c>
      <c r="F126" s="59">
        <v>90996</v>
      </c>
      <c r="G126" s="20">
        <f t="shared" si="1"/>
        <v>240.73015873015873</v>
      </c>
      <c r="H126" s="20" t="s">
        <v>479</v>
      </c>
    </row>
    <row r="127" spans="1:8" x14ac:dyDescent="0.25">
      <c r="A127" s="40">
        <v>8043</v>
      </c>
      <c r="B127" s="40" t="s">
        <v>110</v>
      </c>
      <c r="C127" s="41">
        <v>2005</v>
      </c>
      <c r="D127" s="41">
        <v>3820</v>
      </c>
      <c r="E127" s="41">
        <v>226863</v>
      </c>
      <c r="F127" s="45">
        <v>1769534</v>
      </c>
      <c r="G127" s="20">
        <f t="shared" si="1"/>
        <v>463.22879581151835</v>
      </c>
      <c r="H127" s="20" t="s">
        <v>86</v>
      </c>
    </row>
    <row r="128" spans="1:8" x14ac:dyDescent="0.25">
      <c r="A128" s="69">
        <v>43039</v>
      </c>
      <c r="B128" s="69" t="s">
        <v>668</v>
      </c>
      <c r="C128" s="73">
        <v>1990</v>
      </c>
      <c r="D128" s="118">
        <v>252</v>
      </c>
      <c r="E128" s="118">
        <v>6511</v>
      </c>
      <c r="F128" s="119">
        <v>53386.239999999998</v>
      </c>
      <c r="G128" s="20">
        <f t="shared" si="1"/>
        <v>211.85015873015871</v>
      </c>
      <c r="H128" s="20" t="s">
        <v>778</v>
      </c>
    </row>
    <row r="129" spans="1:8" x14ac:dyDescent="0.25">
      <c r="A129" s="71">
        <v>43040</v>
      </c>
      <c r="B129" s="71" t="s">
        <v>669</v>
      </c>
      <c r="C129" s="75">
        <v>1990</v>
      </c>
      <c r="D129" s="118">
        <v>366</v>
      </c>
      <c r="E129" s="118">
        <v>9747</v>
      </c>
      <c r="F129" s="119">
        <v>63358.14</v>
      </c>
      <c r="G129" s="20">
        <f t="shared" si="1"/>
        <v>173.10967213114753</v>
      </c>
      <c r="H129" s="20" t="s">
        <v>778</v>
      </c>
    </row>
    <row r="130" spans="1:8" x14ac:dyDescent="0.25">
      <c r="A130" s="40">
        <v>8044</v>
      </c>
      <c r="B130" s="40" t="s">
        <v>111</v>
      </c>
      <c r="C130" s="41">
        <v>1987</v>
      </c>
      <c r="D130" s="41">
        <v>4067</v>
      </c>
      <c r="E130" s="41">
        <v>121316</v>
      </c>
      <c r="F130" s="45">
        <v>1334480</v>
      </c>
      <c r="G130" s="20">
        <f t="shared" ref="G130:G193" si="2">F130/D130</f>
        <v>328.12392426850261</v>
      </c>
      <c r="H130" s="20" t="s">
        <v>86</v>
      </c>
    </row>
    <row r="131" spans="1:8" x14ac:dyDescent="0.25">
      <c r="A131" s="58">
        <v>17042</v>
      </c>
      <c r="B131" s="58" t="s">
        <v>444</v>
      </c>
      <c r="C131" s="61">
        <v>1989</v>
      </c>
      <c r="D131" s="63">
        <v>515</v>
      </c>
      <c r="E131" s="61">
        <v>36137</v>
      </c>
      <c r="F131" s="61">
        <v>252957</v>
      </c>
      <c r="G131" s="20">
        <f t="shared" si="2"/>
        <v>491.17864077669901</v>
      </c>
      <c r="H131" s="20" t="s">
        <v>479</v>
      </c>
    </row>
    <row r="132" spans="1:8" x14ac:dyDescent="0.25">
      <c r="A132" s="40">
        <v>8045</v>
      </c>
      <c r="B132" s="40" t="s">
        <v>112</v>
      </c>
      <c r="C132" s="41">
        <v>1989</v>
      </c>
      <c r="D132" s="40">
        <v>68</v>
      </c>
      <c r="E132" s="41">
        <v>2287</v>
      </c>
      <c r="F132" s="45">
        <v>25158</v>
      </c>
      <c r="G132" s="20">
        <f t="shared" si="2"/>
        <v>369.97058823529414</v>
      </c>
      <c r="H132" s="20" t="s">
        <v>86</v>
      </c>
    </row>
    <row r="133" spans="1:8" x14ac:dyDescent="0.25">
      <c r="A133" s="40">
        <v>8046</v>
      </c>
      <c r="B133" s="40" t="s">
        <v>113</v>
      </c>
      <c r="C133" s="41">
        <v>2009</v>
      </c>
      <c r="D133" s="41">
        <v>12230</v>
      </c>
      <c r="E133" s="41">
        <v>868223</v>
      </c>
      <c r="F133" s="45">
        <v>5208676</v>
      </c>
      <c r="G133" s="20">
        <f t="shared" si="2"/>
        <v>425.89337694194603</v>
      </c>
      <c r="H133" s="20" t="s">
        <v>86</v>
      </c>
    </row>
    <row r="134" spans="1:8" x14ac:dyDescent="0.25">
      <c r="A134" s="40">
        <v>8047</v>
      </c>
      <c r="B134" s="40" t="s">
        <v>114</v>
      </c>
      <c r="C134" s="41">
        <v>2008</v>
      </c>
      <c r="D134" s="41">
        <v>2870</v>
      </c>
      <c r="E134" s="41">
        <v>179222</v>
      </c>
      <c r="F134" s="45">
        <v>1290402</v>
      </c>
      <c r="G134" s="20">
        <f t="shared" si="2"/>
        <v>449.61742160278743</v>
      </c>
      <c r="H134" s="20" t="s">
        <v>86</v>
      </c>
    </row>
    <row r="135" spans="1:8" x14ac:dyDescent="0.25">
      <c r="A135" s="40">
        <v>8048</v>
      </c>
      <c r="B135" s="40" t="s">
        <v>115</v>
      </c>
      <c r="C135" s="41">
        <v>2007</v>
      </c>
      <c r="D135" s="40">
        <v>622</v>
      </c>
      <c r="E135" s="41">
        <v>29263</v>
      </c>
      <c r="F135" s="45">
        <v>280921</v>
      </c>
      <c r="G135" s="20">
        <f t="shared" si="2"/>
        <v>451.64147909967846</v>
      </c>
      <c r="H135" s="20" t="s">
        <v>86</v>
      </c>
    </row>
    <row r="136" spans="1:8" x14ac:dyDescent="0.25">
      <c r="A136" s="69">
        <v>43041</v>
      </c>
      <c r="B136" s="69" t="s">
        <v>670</v>
      </c>
      <c r="C136" s="73">
        <v>1990</v>
      </c>
      <c r="D136" s="118">
        <v>352</v>
      </c>
      <c r="E136" s="118">
        <v>7739</v>
      </c>
      <c r="F136" s="119">
        <v>38697.019999999997</v>
      </c>
      <c r="G136" s="20">
        <f t="shared" si="2"/>
        <v>109.9347159090909</v>
      </c>
      <c r="H136" s="20" t="s">
        <v>778</v>
      </c>
    </row>
    <row r="137" spans="1:8" x14ac:dyDescent="0.25">
      <c r="A137" s="56">
        <v>17044</v>
      </c>
      <c r="B137" s="56" t="s">
        <v>445</v>
      </c>
      <c r="C137" s="59">
        <v>2011</v>
      </c>
      <c r="D137" s="59">
        <v>6906</v>
      </c>
      <c r="E137" s="59">
        <v>469726</v>
      </c>
      <c r="F137" s="59">
        <v>3656309</v>
      </c>
      <c r="G137" s="20">
        <f t="shared" si="2"/>
        <v>529.43947292209668</v>
      </c>
      <c r="H137" s="20" t="s">
        <v>479</v>
      </c>
    </row>
    <row r="138" spans="1:8" x14ac:dyDescent="0.25">
      <c r="A138" s="40">
        <v>8049</v>
      </c>
      <c r="B138" s="40" t="s">
        <v>116</v>
      </c>
      <c r="C138" s="41">
        <v>1986</v>
      </c>
      <c r="D138" s="41">
        <v>1345</v>
      </c>
      <c r="E138" s="41">
        <v>50501</v>
      </c>
      <c r="F138" s="45">
        <v>306540</v>
      </c>
      <c r="G138" s="20">
        <f t="shared" si="2"/>
        <v>227.91078066914497</v>
      </c>
      <c r="H138" s="20" t="s">
        <v>86</v>
      </c>
    </row>
    <row r="139" spans="1:8" x14ac:dyDescent="0.25">
      <c r="A139" s="40">
        <v>8057</v>
      </c>
      <c r="B139" s="40" t="s">
        <v>117</v>
      </c>
      <c r="C139" s="41">
        <v>2009</v>
      </c>
      <c r="D139" s="40">
        <v>34</v>
      </c>
      <c r="E139" s="41">
        <v>3245</v>
      </c>
      <c r="F139" s="45">
        <v>13500</v>
      </c>
      <c r="G139" s="20">
        <f t="shared" si="2"/>
        <v>397.05882352941177</v>
      </c>
      <c r="H139" s="20" t="s">
        <v>86</v>
      </c>
    </row>
    <row r="140" spans="1:8" x14ac:dyDescent="0.25">
      <c r="A140" s="40">
        <v>8052</v>
      </c>
      <c r="B140" s="40" t="s">
        <v>118</v>
      </c>
      <c r="C140" s="41">
        <v>2007</v>
      </c>
      <c r="D140" s="40">
        <v>331</v>
      </c>
      <c r="E140" s="41">
        <v>28346</v>
      </c>
      <c r="F140" s="45">
        <v>136062</v>
      </c>
      <c r="G140" s="20">
        <f t="shared" si="2"/>
        <v>411.0634441087613</v>
      </c>
      <c r="H140" s="20" t="s">
        <v>86</v>
      </c>
    </row>
    <row r="141" spans="1:8" x14ac:dyDescent="0.25">
      <c r="A141" s="40">
        <v>8050</v>
      </c>
      <c r="B141" s="40" t="s">
        <v>119</v>
      </c>
      <c r="C141" s="41">
        <v>1989</v>
      </c>
      <c r="D141" s="40">
        <v>148</v>
      </c>
      <c r="E141" s="41">
        <v>5263</v>
      </c>
      <c r="F141" s="45">
        <v>31578</v>
      </c>
      <c r="G141" s="20">
        <f t="shared" si="2"/>
        <v>213.36486486486487</v>
      </c>
      <c r="H141" s="20" t="s">
        <v>86</v>
      </c>
    </row>
    <row r="142" spans="1:8" x14ac:dyDescent="0.25">
      <c r="A142" s="40">
        <v>8051</v>
      </c>
      <c r="B142" s="40" t="s">
        <v>120</v>
      </c>
      <c r="C142" s="41">
        <v>2002</v>
      </c>
      <c r="D142" s="41">
        <v>14702</v>
      </c>
      <c r="E142" s="41">
        <v>1219298</v>
      </c>
      <c r="F142" s="45">
        <v>9305556</v>
      </c>
      <c r="G142" s="20">
        <f t="shared" si="2"/>
        <v>632.94490545504016</v>
      </c>
      <c r="H142" s="20" t="s">
        <v>86</v>
      </c>
    </row>
    <row r="143" spans="1:8" x14ac:dyDescent="0.25">
      <c r="A143" s="40">
        <v>8053</v>
      </c>
      <c r="B143" s="40" t="s">
        <v>121</v>
      </c>
      <c r="C143" s="41">
        <v>2005</v>
      </c>
      <c r="D143" s="41">
        <v>2968</v>
      </c>
      <c r="E143" s="41">
        <v>174674</v>
      </c>
      <c r="F143" s="45">
        <v>960707</v>
      </c>
      <c r="G143" s="20">
        <f t="shared" si="2"/>
        <v>323.68834231805931</v>
      </c>
      <c r="H143" s="20" t="s">
        <v>86</v>
      </c>
    </row>
    <row r="144" spans="1:8" x14ac:dyDescent="0.25">
      <c r="A144" s="40">
        <v>8054</v>
      </c>
      <c r="B144" s="40" t="s">
        <v>122</v>
      </c>
      <c r="C144" s="41">
        <v>2005</v>
      </c>
      <c r="D144" s="41">
        <v>7156</v>
      </c>
      <c r="E144" s="41">
        <v>1037007</v>
      </c>
      <c r="F144" s="45">
        <v>5910938</v>
      </c>
      <c r="G144" s="20">
        <f t="shared" si="2"/>
        <v>826.01145891559531</v>
      </c>
      <c r="H144" s="20" t="s">
        <v>86</v>
      </c>
    </row>
    <row r="145" spans="1:8" x14ac:dyDescent="0.25">
      <c r="A145" s="40">
        <v>8055</v>
      </c>
      <c r="B145" s="40" t="s">
        <v>123</v>
      </c>
      <c r="C145" s="41">
        <v>2002</v>
      </c>
      <c r="D145" s="40">
        <v>722</v>
      </c>
      <c r="E145" s="41">
        <v>52791</v>
      </c>
      <c r="F145" s="45">
        <v>366899</v>
      </c>
      <c r="G145" s="20">
        <f t="shared" si="2"/>
        <v>508.1703601108033</v>
      </c>
      <c r="H145" s="20" t="s">
        <v>86</v>
      </c>
    </row>
    <row r="146" spans="1:8" x14ac:dyDescent="0.25">
      <c r="A146" s="40">
        <v>8056</v>
      </c>
      <c r="B146" s="40" t="s">
        <v>124</v>
      </c>
      <c r="C146" s="41">
        <v>2006</v>
      </c>
      <c r="D146" s="41">
        <v>42807</v>
      </c>
      <c r="E146" s="41">
        <v>4680191</v>
      </c>
      <c r="F146" s="45">
        <v>18720764</v>
      </c>
      <c r="G146" s="20">
        <f t="shared" si="2"/>
        <v>437.32950218422218</v>
      </c>
      <c r="H146" s="20" t="s">
        <v>86</v>
      </c>
    </row>
    <row r="147" spans="1:8" x14ac:dyDescent="0.25">
      <c r="A147" s="40">
        <v>8058</v>
      </c>
      <c r="B147" s="40" t="s">
        <v>125</v>
      </c>
      <c r="C147" s="41">
        <v>1997</v>
      </c>
      <c r="D147" s="41">
        <v>2534</v>
      </c>
      <c r="E147" s="41">
        <v>149463</v>
      </c>
      <c r="F147" s="45">
        <v>896775</v>
      </c>
      <c r="G147" s="20">
        <f t="shared" si="2"/>
        <v>353.89700078926597</v>
      </c>
      <c r="H147" s="20" t="s">
        <v>86</v>
      </c>
    </row>
    <row r="148" spans="1:8" x14ac:dyDescent="0.25">
      <c r="A148" s="58">
        <v>17046</v>
      </c>
      <c r="B148" s="58" t="s">
        <v>446</v>
      </c>
      <c r="C148" s="61">
        <v>2013</v>
      </c>
      <c r="D148" s="63">
        <v>733</v>
      </c>
      <c r="E148" s="61">
        <v>37716</v>
      </c>
      <c r="F148" s="61">
        <v>244872</v>
      </c>
      <c r="G148" s="20">
        <f t="shared" si="2"/>
        <v>334.06821282401091</v>
      </c>
      <c r="H148" s="20" t="s">
        <v>479</v>
      </c>
    </row>
    <row r="149" spans="1:8" x14ac:dyDescent="0.25">
      <c r="A149" s="40">
        <v>8060</v>
      </c>
      <c r="B149" s="40" t="s">
        <v>126</v>
      </c>
      <c r="C149" s="41">
        <v>1989</v>
      </c>
      <c r="D149" s="40">
        <v>189</v>
      </c>
      <c r="E149" s="41">
        <v>4360</v>
      </c>
      <c r="F149" s="45">
        <v>27467</v>
      </c>
      <c r="G149" s="20">
        <f t="shared" si="2"/>
        <v>145.32804232804233</v>
      </c>
      <c r="H149" s="20" t="s">
        <v>86</v>
      </c>
    </row>
    <row r="150" spans="1:8" x14ac:dyDescent="0.25">
      <c r="A150" s="40">
        <v>8059</v>
      </c>
      <c r="B150" s="40" t="s">
        <v>127</v>
      </c>
      <c r="C150" s="41">
        <v>2007</v>
      </c>
      <c r="D150" s="40">
        <v>130</v>
      </c>
      <c r="E150" s="41">
        <v>6850</v>
      </c>
      <c r="F150" s="45">
        <v>44525</v>
      </c>
      <c r="G150" s="20">
        <f t="shared" si="2"/>
        <v>342.5</v>
      </c>
      <c r="H150" s="20" t="s">
        <v>86</v>
      </c>
    </row>
    <row r="151" spans="1:8" x14ac:dyDescent="0.25">
      <c r="A151" s="40">
        <v>8061</v>
      </c>
      <c r="B151" s="40" t="s">
        <v>128</v>
      </c>
      <c r="C151" s="41">
        <v>2005</v>
      </c>
      <c r="D151" s="41">
        <v>1632</v>
      </c>
      <c r="E151" s="41">
        <v>107452</v>
      </c>
      <c r="F151" s="45">
        <v>601728</v>
      </c>
      <c r="G151" s="20">
        <f t="shared" si="2"/>
        <v>368.70588235294116</v>
      </c>
      <c r="H151" s="20" t="s">
        <v>86</v>
      </c>
    </row>
    <row r="152" spans="1:8" x14ac:dyDescent="0.25">
      <c r="A152" s="40">
        <v>8062</v>
      </c>
      <c r="B152" s="40" t="s">
        <v>129</v>
      </c>
      <c r="C152" s="41">
        <v>2005</v>
      </c>
      <c r="D152" s="41">
        <v>1162</v>
      </c>
      <c r="E152" s="41">
        <v>61494</v>
      </c>
      <c r="F152" s="45">
        <v>404602</v>
      </c>
      <c r="G152" s="20">
        <f t="shared" si="2"/>
        <v>348.19449225473323</v>
      </c>
      <c r="H152" s="20" t="s">
        <v>86</v>
      </c>
    </row>
    <row r="153" spans="1:8" x14ac:dyDescent="0.25">
      <c r="A153" s="56">
        <v>17047</v>
      </c>
      <c r="B153" s="56" t="s">
        <v>447</v>
      </c>
      <c r="C153" s="59">
        <v>1996</v>
      </c>
      <c r="D153" s="62">
        <v>595</v>
      </c>
      <c r="E153" s="59">
        <v>1117933</v>
      </c>
      <c r="F153" s="59">
        <v>10173190</v>
      </c>
      <c r="G153" s="20">
        <f t="shared" si="2"/>
        <v>17097.798319327732</v>
      </c>
      <c r="H153" s="20" t="s">
        <v>479</v>
      </c>
    </row>
    <row r="154" spans="1:8" x14ac:dyDescent="0.25">
      <c r="A154" s="40">
        <v>8063</v>
      </c>
      <c r="B154" s="40" t="s">
        <v>130</v>
      </c>
      <c r="C154" s="41">
        <v>1989</v>
      </c>
      <c r="D154" s="40">
        <v>471</v>
      </c>
      <c r="E154" s="41">
        <v>31522</v>
      </c>
      <c r="F154" s="45">
        <v>230112</v>
      </c>
      <c r="G154" s="20">
        <f t="shared" si="2"/>
        <v>488.56050955414014</v>
      </c>
      <c r="H154" s="20" t="s">
        <v>86</v>
      </c>
    </row>
    <row r="155" spans="1:8" x14ac:dyDescent="0.25">
      <c r="A155" s="58">
        <v>17048</v>
      </c>
      <c r="B155" s="58" t="s">
        <v>448</v>
      </c>
      <c r="C155" s="61">
        <v>2010</v>
      </c>
      <c r="D155" s="61">
        <v>25185</v>
      </c>
      <c r="E155" s="61">
        <v>1731939</v>
      </c>
      <c r="F155" s="61">
        <v>14736228</v>
      </c>
      <c r="G155" s="20">
        <f t="shared" si="2"/>
        <v>585.1192376414532</v>
      </c>
      <c r="H155" s="20" t="s">
        <v>479</v>
      </c>
    </row>
    <row r="156" spans="1:8" x14ac:dyDescent="0.25">
      <c r="A156" s="40">
        <v>8064</v>
      </c>
      <c r="B156" s="40" t="s">
        <v>131</v>
      </c>
      <c r="C156" s="41">
        <v>2010</v>
      </c>
      <c r="D156" s="41">
        <v>2086</v>
      </c>
      <c r="E156" s="41">
        <v>165023</v>
      </c>
      <c r="F156" s="45">
        <v>1247191</v>
      </c>
      <c r="G156" s="20">
        <f t="shared" si="2"/>
        <v>597.88638542665387</v>
      </c>
      <c r="H156" s="20" t="s">
        <v>86</v>
      </c>
    </row>
    <row r="157" spans="1:8" x14ac:dyDescent="0.25">
      <c r="A157" s="71">
        <v>43042</v>
      </c>
      <c r="B157" s="71" t="s">
        <v>671</v>
      </c>
      <c r="C157" s="75">
        <v>1990</v>
      </c>
      <c r="D157" s="118">
        <v>1747</v>
      </c>
      <c r="E157" s="118">
        <v>122051</v>
      </c>
      <c r="F157" s="119">
        <v>1037435.28</v>
      </c>
      <c r="G157" s="20">
        <f t="shared" si="2"/>
        <v>593.83816828849456</v>
      </c>
      <c r="H157" s="20" t="s">
        <v>778</v>
      </c>
    </row>
    <row r="158" spans="1:8" x14ac:dyDescent="0.25">
      <c r="A158" s="40">
        <v>8065</v>
      </c>
      <c r="B158" s="40" t="s">
        <v>132</v>
      </c>
      <c r="C158" s="41">
        <v>1997</v>
      </c>
      <c r="D158" s="41">
        <v>1250</v>
      </c>
      <c r="E158" s="41">
        <v>49792</v>
      </c>
      <c r="F158" s="45">
        <v>421237</v>
      </c>
      <c r="G158" s="20">
        <f t="shared" si="2"/>
        <v>336.9896</v>
      </c>
      <c r="H158" s="20" t="s">
        <v>86</v>
      </c>
    </row>
    <row r="159" spans="1:8" x14ac:dyDescent="0.25">
      <c r="A159" s="40">
        <v>8066</v>
      </c>
      <c r="B159" s="40" t="s">
        <v>133</v>
      </c>
      <c r="C159" s="41">
        <v>1986</v>
      </c>
      <c r="D159" s="41">
        <v>1257</v>
      </c>
      <c r="E159" s="41">
        <v>114365</v>
      </c>
      <c r="F159" s="45">
        <v>811991</v>
      </c>
      <c r="G159" s="20">
        <f t="shared" si="2"/>
        <v>645.97533810660298</v>
      </c>
      <c r="H159" s="20" t="s">
        <v>86</v>
      </c>
    </row>
    <row r="160" spans="1:8" x14ac:dyDescent="0.25">
      <c r="A160" s="69">
        <v>43043</v>
      </c>
      <c r="B160" s="69" t="s">
        <v>672</v>
      </c>
      <c r="C160" s="73">
        <v>1990</v>
      </c>
      <c r="D160" s="118">
        <v>3784</v>
      </c>
      <c r="E160" s="118">
        <v>260958</v>
      </c>
      <c r="F160" s="119">
        <v>1826709.64</v>
      </c>
      <c r="G160" s="20">
        <f t="shared" si="2"/>
        <v>482.74567653276955</v>
      </c>
      <c r="H160" s="20" t="s">
        <v>778</v>
      </c>
    </row>
    <row r="161" spans="1:8" x14ac:dyDescent="0.25">
      <c r="A161" s="56">
        <v>17189</v>
      </c>
      <c r="B161" s="56" t="s">
        <v>449</v>
      </c>
      <c r="C161" s="59">
        <v>1996</v>
      </c>
      <c r="D161" s="59">
        <v>1227</v>
      </c>
      <c r="E161" s="59">
        <v>79027</v>
      </c>
      <c r="F161" s="59">
        <v>584801</v>
      </c>
      <c r="G161" s="20">
        <f t="shared" si="2"/>
        <v>476.61043194784025</v>
      </c>
      <c r="H161" s="20" t="s">
        <v>479</v>
      </c>
    </row>
    <row r="162" spans="1:8" x14ac:dyDescent="0.25">
      <c r="A162" s="58">
        <v>17049</v>
      </c>
      <c r="B162" s="58" t="s">
        <v>450</v>
      </c>
      <c r="C162" s="61">
        <v>1985</v>
      </c>
      <c r="D162" s="61">
        <v>3630</v>
      </c>
      <c r="E162" s="61">
        <v>265747</v>
      </c>
      <c r="F162" s="61">
        <v>1288871</v>
      </c>
      <c r="G162" s="20">
        <f t="shared" si="2"/>
        <v>355.06088154269975</v>
      </c>
      <c r="H162" s="20" t="s">
        <v>479</v>
      </c>
    </row>
    <row r="163" spans="1:8" x14ac:dyDescent="0.25">
      <c r="A163" s="40">
        <v>8067</v>
      </c>
      <c r="B163" s="40" t="s">
        <v>134</v>
      </c>
      <c r="C163" s="41">
        <v>1988</v>
      </c>
      <c r="D163" s="41">
        <v>5427</v>
      </c>
      <c r="E163" s="41">
        <v>230567</v>
      </c>
      <c r="F163" s="45">
        <v>1706194</v>
      </c>
      <c r="G163" s="20">
        <f t="shared" si="2"/>
        <v>314.38990234015108</v>
      </c>
      <c r="H163" s="20" t="s">
        <v>86</v>
      </c>
    </row>
    <row r="164" spans="1:8" x14ac:dyDescent="0.25">
      <c r="A164" s="40">
        <v>8268</v>
      </c>
      <c r="B164" s="40" t="s">
        <v>135</v>
      </c>
      <c r="C164" s="41">
        <v>1986</v>
      </c>
      <c r="D164" s="41">
        <v>1449</v>
      </c>
      <c r="E164" s="41">
        <v>51506</v>
      </c>
      <c r="F164" s="45">
        <v>320364</v>
      </c>
      <c r="G164" s="20">
        <f t="shared" si="2"/>
        <v>221.09316770186336</v>
      </c>
      <c r="H164" s="20" t="s">
        <v>86</v>
      </c>
    </row>
    <row r="165" spans="1:8" x14ac:dyDescent="0.25">
      <c r="A165" s="40">
        <v>8266</v>
      </c>
      <c r="B165" s="40" t="s">
        <v>136</v>
      </c>
      <c r="C165" s="41">
        <v>2006</v>
      </c>
      <c r="D165" s="41">
        <v>37461</v>
      </c>
      <c r="E165" s="41">
        <v>3579406</v>
      </c>
      <c r="F165" s="45">
        <v>20918591</v>
      </c>
      <c r="G165" s="20">
        <f t="shared" si="2"/>
        <v>558.40983956648245</v>
      </c>
      <c r="H165" s="20" t="s">
        <v>86</v>
      </c>
    </row>
    <row r="166" spans="1:8" x14ac:dyDescent="0.25">
      <c r="A166" s="40">
        <v>8068</v>
      </c>
      <c r="B166" s="40" t="s">
        <v>137</v>
      </c>
      <c r="C166" s="41">
        <v>2013</v>
      </c>
      <c r="D166" s="41">
        <v>5564</v>
      </c>
      <c r="E166" s="41">
        <v>573919</v>
      </c>
      <c r="F166" s="45">
        <v>4053666</v>
      </c>
      <c r="G166" s="20">
        <f t="shared" si="2"/>
        <v>728.55248023005038</v>
      </c>
      <c r="H166" s="20" t="s">
        <v>86</v>
      </c>
    </row>
    <row r="167" spans="1:8" x14ac:dyDescent="0.25">
      <c r="A167" s="56">
        <v>17050</v>
      </c>
      <c r="B167" s="56" t="s">
        <v>451</v>
      </c>
      <c r="C167" s="59">
        <v>1987</v>
      </c>
      <c r="D167" s="62">
        <v>640</v>
      </c>
      <c r="E167" s="59">
        <v>30204</v>
      </c>
      <c r="F167" s="59">
        <v>196325</v>
      </c>
      <c r="G167" s="20">
        <f t="shared" si="2"/>
        <v>306.7578125</v>
      </c>
      <c r="H167" s="20" t="s">
        <v>479</v>
      </c>
    </row>
    <row r="168" spans="1:8" x14ac:dyDescent="0.25">
      <c r="A168" s="58">
        <v>17051</v>
      </c>
      <c r="B168" s="58" t="s">
        <v>452</v>
      </c>
      <c r="C168" s="61">
        <v>1989</v>
      </c>
      <c r="D168" s="63">
        <v>259</v>
      </c>
      <c r="E168" s="61">
        <v>13302</v>
      </c>
      <c r="F168" s="61">
        <v>53209</v>
      </c>
      <c r="G168" s="20">
        <f t="shared" si="2"/>
        <v>205.44015444015443</v>
      </c>
      <c r="H168" s="20" t="s">
        <v>479</v>
      </c>
    </row>
    <row r="169" spans="1:8" x14ac:dyDescent="0.25">
      <c r="A169" s="56">
        <v>17054</v>
      </c>
      <c r="B169" s="56" t="s">
        <v>453</v>
      </c>
      <c r="C169" s="59">
        <v>1989</v>
      </c>
      <c r="D169" s="59">
        <v>1407</v>
      </c>
      <c r="E169" s="59">
        <v>43118</v>
      </c>
      <c r="F169" s="59">
        <v>351414</v>
      </c>
      <c r="G169" s="20">
        <f t="shared" si="2"/>
        <v>249.76119402985074</v>
      </c>
      <c r="H169" s="20" t="s">
        <v>479</v>
      </c>
    </row>
    <row r="170" spans="1:8" x14ac:dyDescent="0.25">
      <c r="A170" s="40">
        <v>8069</v>
      </c>
      <c r="B170" s="40" t="s">
        <v>138</v>
      </c>
      <c r="C170" s="41">
        <v>2005</v>
      </c>
      <c r="D170" s="41">
        <v>2397</v>
      </c>
      <c r="E170" s="41">
        <v>294787</v>
      </c>
      <c r="F170" s="45">
        <v>1983914</v>
      </c>
      <c r="G170" s="20">
        <f t="shared" si="2"/>
        <v>827.66541510221111</v>
      </c>
      <c r="H170" s="20" t="s">
        <v>86</v>
      </c>
    </row>
    <row r="171" spans="1:8" x14ac:dyDescent="0.25">
      <c r="A171" s="71">
        <v>43045</v>
      </c>
      <c r="B171" s="71" t="s">
        <v>673</v>
      </c>
      <c r="C171" s="75">
        <v>1989</v>
      </c>
      <c r="D171" s="118">
        <v>160</v>
      </c>
      <c r="E171" s="118">
        <v>4851</v>
      </c>
      <c r="F171" s="119">
        <v>24254.01</v>
      </c>
      <c r="G171" s="20">
        <f t="shared" si="2"/>
        <v>151.58756249999999</v>
      </c>
      <c r="H171" s="20" t="s">
        <v>778</v>
      </c>
    </row>
    <row r="172" spans="1:8" x14ac:dyDescent="0.25">
      <c r="A172" s="40">
        <v>8070</v>
      </c>
      <c r="B172" s="40" t="s">
        <v>139</v>
      </c>
      <c r="C172" s="41">
        <v>1988</v>
      </c>
      <c r="D172" s="40">
        <v>361</v>
      </c>
      <c r="E172" s="41">
        <v>16420</v>
      </c>
      <c r="F172" s="45">
        <v>123150</v>
      </c>
      <c r="G172" s="20">
        <f t="shared" si="2"/>
        <v>341.13573407202216</v>
      </c>
      <c r="H172" s="20" t="s">
        <v>86</v>
      </c>
    </row>
    <row r="173" spans="1:8" x14ac:dyDescent="0.25">
      <c r="A173" s="58">
        <v>17055</v>
      </c>
      <c r="B173" s="58" t="s">
        <v>454</v>
      </c>
      <c r="C173" s="61">
        <v>2007</v>
      </c>
      <c r="D173" s="63">
        <v>219</v>
      </c>
      <c r="E173" s="61">
        <v>18409</v>
      </c>
      <c r="F173" s="61">
        <v>101251</v>
      </c>
      <c r="G173" s="20">
        <f t="shared" si="2"/>
        <v>462.33333333333331</v>
      </c>
      <c r="H173" s="20" t="s">
        <v>479</v>
      </c>
    </row>
    <row r="174" spans="1:8" x14ac:dyDescent="0.25">
      <c r="A174" s="69">
        <v>43046</v>
      </c>
      <c r="B174" s="69" t="s">
        <v>674</v>
      </c>
      <c r="C174" s="73">
        <v>1990</v>
      </c>
      <c r="D174" s="118">
        <v>283</v>
      </c>
      <c r="E174" s="118">
        <v>3951</v>
      </c>
      <c r="F174" s="119">
        <v>15804.46</v>
      </c>
      <c r="G174" s="20">
        <f t="shared" si="2"/>
        <v>55.846148409893992</v>
      </c>
      <c r="H174" s="20" t="s">
        <v>778</v>
      </c>
    </row>
    <row r="175" spans="1:8" x14ac:dyDescent="0.25">
      <c r="A175" s="71">
        <v>43047</v>
      </c>
      <c r="B175" s="71" t="s">
        <v>675</v>
      </c>
      <c r="C175" s="75">
        <v>1990</v>
      </c>
      <c r="D175" s="118">
        <v>5591</v>
      </c>
      <c r="E175" s="118">
        <v>329488</v>
      </c>
      <c r="F175" s="119">
        <v>2720391.22</v>
      </c>
      <c r="G175" s="20">
        <f t="shared" si="2"/>
        <v>486.5661277052406</v>
      </c>
      <c r="H175" s="20" t="s">
        <v>778</v>
      </c>
    </row>
    <row r="176" spans="1:8" x14ac:dyDescent="0.25">
      <c r="A176" s="40">
        <v>8071</v>
      </c>
      <c r="B176" s="40" t="s">
        <v>140</v>
      </c>
      <c r="C176" s="41">
        <v>2002</v>
      </c>
      <c r="D176" s="40">
        <v>263</v>
      </c>
      <c r="E176" s="41">
        <v>11675</v>
      </c>
      <c r="F176" s="45">
        <v>117920</v>
      </c>
      <c r="G176" s="20">
        <f t="shared" si="2"/>
        <v>448.36501901140684</v>
      </c>
      <c r="H176" s="20" t="s">
        <v>86</v>
      </c>
    </row>
    <row r="177" spans="1:8" x14ac:dyDescent="0.25">
      <c r="A177" s="40">
        <v>8072</v>
      </c>
      <c r="B177" s="40" t="s">
        <v>141</v>
      </c>
      <c r="C177" s="41">
        <v>1999</v>
      </c>
      <c r="D177" s="41">
        <v>9228</v>
      </c>
      <c r="E177" s="41">
        <v>657585</v>
      </c>
      <c r="F177" s="45">
        <v>6154996</v>
      </c>
      <c r="G177" s="20">
        <f t="shared" si="2"/>
        <v>666.99133073255314</v>
      </c>
      <c r="H177" s="20" t="s">
        <v>86</v>
      </c>
    </row>
    <row r="178" spans="1:8" x14ac:dyDescent="0.25">
      <c r="A178" s="69">
        <v>43048</v>
      </c>
      <c r="B178" s="69" t="s">
        <v>676</v>
      </c>
      <c r="C178" s="73">
        <v>1990</v>
      </c>
      <c r="D178" s="118">
        <v>779</v>
      </c>
      <c r="E178" s="118">
        <v>25167</v>
      </c>
      <c r="F178" s="119">
        <v>151001.81</v>
      </c>
      <c r="G178" s="20">
        <f t="shared" si="2"/>
        <v>193.84057766367138</v>
      </c>
      <c r="H178" s="20" t="s">
        <v>778</v>
      </c>
    </row>
    <row r="179" spans="1:8" x14ac:dyDescent="0.25">
      <c r="A179" s="56">
        <v>17057</v>
      </c>
      <c r="B179" s="56" t="s">
        <v>455</v>
      </c>
      <c r="C179" s="59">
        <v>1986</v>
      </c>
      <c r="D179" s="62">
        <v>858</v>
      </c>
      <c r="E179" s="59">
        <v>61655</v>
      </c>
      <c r="F179" s="59">
        <v>382262</v>
      </c>
      <c r="G179" s="20">
        <f t="shared" si="2"/>
        <v>445.52680652680652</v>
      </c>
      <c r="H179" s="20" t="s">
        <v>479</v>
      </c>
    </row>
    <row r="180" spans="1:8" x14ac:dyDescent="0.25">
      <c r="A180" s="40">
        <v>8073</v>
      </c>
      <c r="B180" s="40" t="s">
        <v>142</v>
      </c>
      <c r="C180" s="41">
        <v>2006</v>
      </c>
      <c r="D180" s="41">
        <v>60535</v>
      </c>
      <c r="E180" s="41">
        <v>4162827</v>
      </c>
      <c r="F180" s="45">
        <v>26686764</v>
      </c>
      <c r="G180" s="20">
        <f t="shared" si="2"/>
        <v>440.84850086726686</v>
      </c>
      <c r="H180" s="20" t="s">
        <v>86</v>
      </c>
    </row>
    <row r="181" spans="1:8" x14ac:dyDescent="0.25">
      <c r="A181" s="58">
        <v>17056</v>
      </c>
      <c r="B181" s="58" t="s">
        <v>456</v>
      </c>
      <c r="C181" s="61">
        <v>1986</v>
      </c>
      <c r="D181" s="61">
        <v>1679</v>
      </c>
      <c r="E181" s="61">
        <v>100355</v>
      </c>
      <c r="F181" s="61">
        <v>733596</v>
      </c>
      <c r="G181" s="20">
        <f t="shared" si="2"/>
        <v>436.92435973793926</v>
      </c>
      <c r="H181" s="20" t="s">
        <v>479</v>
      </c>
    </row>
    <row r="182" spans="1:8" x14ac:dyDescent="0.25">
      <c r="A182" s="71">
        <v>43049</v>
      </c>
      <c r="B182" s="71" t="s">
        <v>677</v>
      </c>
      <c r="C182" s="75">
        <v>1989</v>
      </c>
      <c r="D182" s="118">
        <v>1149</v>
      </c>
      <c r="E182" s="118">
        <v>41918</v>
      </c>
      <c r="F182" s="119">
        <v>226355.11</v>
      </c>
      <c r="G182" s="20">
        <f t="shared" si="2"/>
        <v>197.0018363794604</v>
      </c>
      <c r="H182" s="20" t="s">
        <v>778</v>
      </c>
    </row>
    <row r="183" spans="1:8" x14ac:dyDescent="0.25">
      <c r="A183" s="69">
        <v>43050</v>
      </c>
      <c r="B183" s="69" t="s">
        <v>678</v>
      </c>
      <c r="C183" s="73">
        <v>1990</v>
      </c>
      <c r="D183" s="118">
        <v>5202</v>
      </c>
      <c r="E183" s="118">
        <v>284027</v>
      </c>
      <c r="F183" s="119">
        <v>3124299.93</v>
      </c>
      <c r="G183" s="20">
        <f t="shared" si="2"/>
        <v>600.59591118800461</v>
      </c>
      <c r="H183" s="20" t="s">
        <v>778</v>
      </c>
    </row>
    <row r="184" spans="1:8" x14ac:dyDescent="0.25">
      <c r="A184" s="56">
        <v>17058</v>
      </c>
      <c r="B184" s="56" t="s">
        <v>457</v>
      </c>
      <c r="C184" s="59">
        <v>1989</v>
      </c>
      <c r="D184" s="62">
        <v>206</v>
      </c>
      <c r="E184" s="59">
        <v>15526</v>
      </c>
      <c r="F184" s="59">
        <v>93155</v>
      </c>
      <c r="G184" s="20">
        <f t="shared" si="2"/>
        <v>452.20873786407765</v>
      </c>
      <c r="H184" s="20" t="s">
        <v>479</v>
      </c>
    </row>
    <row r="185" spans="1:8" ht="23.25" x14ac:dyDescent="0.25">
      <c r="A185" s="58">
        <v>17901</v>
      </c>
      <c r="B185" s="58" t="s">
        <v>458</v>
      </c>
      <c r="C185" s="61">
        <v>2007</v>
      </c>
      <c r="D185" s="63">
        <v>646</v>
      </c>
      <c r="E185" s="61">
        <v>56779</v>
      </c>
      <c r="F185" s="61">
        <v>297521</v>
      </c>
      <c r="G185" s="20">
        <f t="shared" si="2"/>
        <v>460.55882352941177</v>
      </c>
      <c r="H185" s="20" t="s">
        <v>479</v>
      </c>
    </row>
    <row r="186" spans="1:8" x14ac:dyDescent="0.25">
      <c r="A186" s="40">
        <v>8074</v>
      </c>
      <c r="B186" s="40" t="s">
        <v>143</v>
      </c>
      <c r="C186" s="41">
        <v>1998</v>
      </c>
      <c r="D186" s="41">
        <v>18150</v>
      </c>
      <c r="E186" s="41">
        <v>652951</v>
      </c>
      <c r="F186" s="45">
        <v>7469759</v>
      </c>
      <c r="G186" s="20">
        <f t="shared" si="2"/>
        <v>411.5569696969697</v>
      </c>
      <c r="H186" s="20" t="s">
        <v>86</v>
      </c>
    </row>
    <row r="187" spans="1:8" x14ac:dyDescent="0.25">
      <c r="A187" s="71">
        <v>43051</v>
      </c>
      <c r="B187" s="71" t="s">
        <v>679</v>
      </c>
      <c r="C187" s="75">
        <v>2008</v>
      </c>
      <c r="D187" s="118">
        <v>19157</v>
      </c>
      <c r="E187" s="118">
        <v>1247404</v>
      </c>
      <c r="F187" s="119">
        <v>13147634.25</v>
      </c>
      <c r="G187" s="20">
        <f t="shared" si="2"/>
        <v>686.30966487445846</v>
      </c>
      <c r="H187" s="20" t="s">
        <v>778</v>
      </c>
    </row>
    <row r="188" spans="1:8" x14ac:dyDescent="0.25">
      <c r="A188" s="56">
        <v>17060</v>
      </c>
      <c r="B188" s="56" t="s">
        <v>459</v>
      </c>
      <c r="C188" s="59">
        <v>1989</v>
      </c>
      <c r="D188" s="62">
        <v>620</v>
      </c>
      <c r="E188" s="59">
        <v>25882</v>
      </c>
      <c r="F188" s="59">
        <v>155293</v>
      </c>
      <c r="G188" s="20">
        <f t="shared" si="2"/>
        <v>250.47258064516129</v>
      </c>
      <c r="H188" s="20" t="s">
        <v>479</v>
      </c>
    </row>
    <row r="189" spans="1:8" x14ac:dyDescent="0.25">
      <c r="A189" s="58">
        <v>17061</v>
      </c>
      <c r="B189" s="58" t="s">
        <v>460</v>
      </c>
      <c r="C189" s="61">
        <v>1986</v>
      </c>
      <c r="D189" s="63">
        <v>621</v>
      </c>
      <c r="E189" s="61">
        <v>68506</v>
      </c>
      <c r="F189" s="61">
        <v>308275</v>
      </c>
      <c r="G189" s="20">
        <f t="shared" si="2"/>
        <v>496.41706924315622</v>
      </c>
      <c r="H189" s="20" t="s">
        <v>479</v>
      </c>
    </row>
    <row r="190" spans="1:8" x14ac:dyDescent="0.25">
      <c r="A190" s="69">
        <v>43901</v>
      </c>
      <c r="B190" s="69" t="s">
        <v>680</v>
      </c>
      <c r="C190" s="73">
        <v>2000</v>
      </c>
      <c r="D190" s="118">
        <v>12197</v>
      </c>
      <c r="E190" s="118">
        <v>451557</v>
      </c>
      <c r="F190" s="119">
        <v>4899392.24</v>
      </c>
      <c r="G190" s="20">
        <f t="shared" si="2"/>
        <v>401.68830368123309</v>
      </c>
      <c r="H190" s="20" t="s">
        <v>778</v>
      </c>
    </row>
    <row r="191" spans="1:8" x14ac:dyDescent="0.25">
      <c r="A191" s="40">
        <v>8075</v>
      </c>
      <c r="B191" s="40" t="s">
        <v>144</v>
      </c>
      <c r="C191" s="41">
        <v>1996</v>
      </c>
      <c r="D191" s="41">
        <v>3164</v>
      </c>
      <c r="E191" s="41">
        <v>239510</v>
      </c>
      <c r="F191" s="45">
        <v>1963985</v>
      </c>
      <c r="G191" s="20">
        <f t="shared" si="2"/>
        <v>620.72850821744623</v>
      </c>
      <c r="H191" s="20" t="s">
        <v>86</v>
      </c>
    </row>
    <row r="192" spans="1:8" x14ac:dyDescent="0.25">
      <c r="A192" s="71">
        <v>43053</v>
      </c>
      <c r="B192" s="71" t="s">
        <v>681</v>
      </c>
      <c r="C192" s="75">
        <v>1989</v>
      </c>
      <c r="D192" s="118">
        <v>298</v>
      </c>
      <c r="E192" s="118">
        <v>6848</v>
      </c>
      <c r="F192" s="119">
        <v>47935.63</v>
      </c>
      <c r="G192" s="20">
        <f t="shared" si="2"/>
        <v>160.8578187919463</v>
      </c>
      <c r="H192" s="20" t="s">
        <v>778</v>
      </c>
    </row>
    <row r="193" spans="1:8" x14ac:dyDescent="0.25">
      <c r="A193" s="56">
        <v>17062</v>
      </c>
      <c r="B193" s="56" t="s">
        <v>461</v>
      </c>
      <c r="C193" s="59">
        <v>1995</v>
      </c>
      <c r="D193" s="59">
        <v>20794</v>
      </c>
      <c r="E193" s="59">
        <v>821204</v>
      </c>
      <c r="F193" s="59">
        <v>7434361</v>
      </c>
      <c r="G193" s="20">
        <f t="shared" si="2"/>
        <v>357.52433394248339</v>
      </c>
      <c r="H193" s="20" t="s">
        <v>479</v>
      </c>
    </row>
    <row r="194" spans="1:8" x14ac:dyDescent="0.25">
      <c r="A194" s="40">
        <v>8076</v>
      </c>
      <c r="B194" s="40" t="s">
        <v>145</v>
      </c>
      <c r="C194" s="41">
        <v>2002</v>
      </c>
      <c r="D194" s="41">
        <v>14631</v>
      </c>
      <c r="E194" s="41">
        <v>822078</v>
      </c>
      <c r="F194" s="45">
        <v>6412205</v>
      </c>
      <c r="G194" s="20">
        <f t="shared" ref="G194:G257" si="3">F194/D194</f>
        <v>438.26156790376598</v>
      </c>
      <c r="H194" s="20" t="s">
        <v>86</v>
      </c>
    </row>
    <row r="195" spans="1:8" x14ac:dyDescent="0.25">
      <c r="A195" s="58">
        <v>17063</v>
      </c>
      <c r="B195" s="58" t="s">
        <v>462</v>
      </c>
      <c r="C195" s="61">
        <v>1990</v>
      </c>
      <c r="D195" s="63">
        <v>288</v>
      </c>
      <c r="E195" s="61">
        <v>11262</v>
      </c>
      <c r="F195" s="61">
        <v>85031</v>
      </c>
      <c r="G195" s="20">
        <f t="shared" si="3"/>
        <v>295.24652777777777</v>
      </c>
      <c r="H195" s="20" t="s">
        <v>479</v>
      </c>
    </row>
    <row r="196" spans="1:8" x14ac:dyDescent="0.25">
      <c r="A196" s="69">
        <v>43054</v>
      </c>
      <c r="B196" s="69" t="s">
        <v>682</v>
      </c>
      <c r="C196" s="73">
        <v>1990</v>
      </c>
      <c r="D196" s="118">
        <v>3110</v>
      </c>
      <c r="E196" s="118">
        <v>121276</v>
      </c>
      <c r="F196" s="119">
        <v>978216.37</v>
      </c>
      <c r="G196" s="20">
        <f t="shared" si="3"/>
        <v>314.53902572347266</v>
      </c>
      <c r="H196" s="20" t="s">
        <v>778</v>
      </c>
    </row>
    <row r="197" spans="1:8" x14ac:dyDescent="0.25">
      <c r="A197" s="40">
        <v>8077</v>
      </c>
      <c r="B197" s="40" t="s">
        <v>146</v>
      </c>
      <c r="C197" s="41">
        <v>1997</v>
      </c>
      <c r="D197" s="41">
        <v>29041</v>
      </c>
      <c r="E197" s="41">
        <v>2262502</v>
      </c>
      <c r="F197" s="45">
        <v>15204009</v>
      </c>
      <c r="G197" s="20">
        <f t="shared" si="3"/>
        <v>523.53600082641788</v>
      </c>
      <c r="H197" s="20" t="s">
        <v>86</v>
      </c>
    </row>
    <row r="198" spans="1:8" x14ac:dyDescent="0.25">
      <c r="A198" s="56">
        <v>17064</v>
      </c>
      <c r="B198" s="56" t="s">
        <v>463</v>
      </c>
      <c r="C198" s="59">
        <v>2008</v>
      </c>
      <c r="D198" s="62">
        <v>397</v>
      </c>
      <c r="E198" s="59">
        <v>33336</v>
      </c>
      <c r="F198" s="59">
        <v>166679</v>
      </c>
      <c r="G198" s="20">
        <f t="shared" si="3"/>
        <v>419.84634760705291</v>
      </c>
      <c r="H198" s="20" t="s">
        <v>479</v>
      </c>
    </row>
    <row r="199" spans="1:8" x14ac:dyDescent="0.25">
      <c r="A199" s="58">
        <v>17065</v>
      </c>
      <c r="B199" s="58" t="s">
        <v>464</v>
      </c>
      <c r="C199" s="61">
        <v>1989</v>
      </c>
      <c r="D199" s="63">
        <v>302</v>
      </c>
      <c r="E199" s="61">
        <v>20634</v>
      </c>
      <c r="F199" s="61">
        <v>121740</v>
      </c>
      <c r="G199" s="20">
        <f t="shared" si="3"/>
        <v>403.11258278145698</v>
      </c>
      <c r="H199" s="20" t="s">
        <v>479</v>
      </c>
    </row>
    <row r="200" spans="1:8" x14ac:dyDescent="0.25">
      <c r="A200" s="40">
        <v>8078</v>
      </c>
      <c r="B200" s="40" t="s">
        <v>147</v>
      </c>
      <c r="C200" s="41">
        <v>1989</v>
      </c>
      <c r="D200" s="40">
        <v>179</v>
      </c>
      <c r="E200" s="41">
        <v>7106</v>
      </c>
      <c r="F200" s="45">
        <v>35529</v>
      </c>
      <c r="G200" s="20">
        <f t="shared" si="3"/>
        <v>198.48603351955308</v>
      </c>
      <c r="H200" s="20" t="s">
        <v>86</v>
      </c>
    </row>
    <row r="201" spans="1:8" x14ac:dyDescent="0.25">
      <c r="A201" s="40">
        <v>8254</v>
      </c>
      <c r="B201" s="40" t="s">
        <v>148</v>
      </c>
      <c r="C201" s="41">
        <v>2013</v>
      </c>
      <c r="D201" s="41">
        <v>1464</v>
      </c>
      <c r="E201" s="41">
        <v>94268</v>
      </c>
      <c r="F201" s="45">
        <v>593774</v>
      </c>
      <c r="G201" s="20">
        <f t="shared" si="3"/>
        <v>405.58333333333331</v>
      </c>
      <c r="H201" s="20" t="s">
        <v>86</v>
      </c>
    </row>
    <row r="202" spans="1:8" x14ac:dyDescent="0.25">
      <c r="A202" s="40">
        <v>8079</v>
      </c>
      <c r="B202" s="40" t="s">
        <v>149</v>
      </c>
      <c r="C202" s="41">
        <v>2010</v>
      </c>
      <c r="D202" s="40">
        <v>426</v>
      </c>
      <c r="E202" s="41">
        <v>20816</v>
      </c>
      <c r="F202" s="45">
        <v>176014</v>
      </c>
      <c r="G202" s="20">
        <f t="shared" si="3"/>
        <v>413.17840375586854</v>
      </c>
      <c r="H202" s="20" t="s">
        <v>86</v>
      </c>
    </row>
    <row r="203" spans="1:8" x14ac:dyDescent="0.25">
      <c r="A203" s="71">
        <v>43055</v>
      </c>
      <c r="B203" s="71" t="s">
        <v>683</v>
      </c>
      <c r="C203" s="75">
        <v>2008</v>
      </c>
      <c r="D203" s="118">
        <v>2093</v>
      </c>
      <c r="E203" s="118">
        <v>118717</v>
      </c>
      <c r="F203" s="119">
        <v>728924.37</v>
      </c>
      <c r="G203" s="20">
        <f t="shared" si="3"/>
        <v>348.26773530817007</v>
      </c>
      <c r="H203" s="20" t="s">
        <v>778</v>
      </c>
    </row>
    <row r="204" spans="1:8" x14ac:dyDescent="0.25">
      <c r="A204" s="56">
        <v>17005</v>
      </c>
      <c r="B204" s="56" t="s">
        <v>465</v>
      </c>
      <c r="C204" s="59">
        <v>1989</v>
      </c>
      <c r="D204" s="62">
        <v>386</v>
      </c>
      <c r="E204" s="59">
        <v>27893</v>
      </c>
      <c r="F204" s="59">
        <v>209195</v>
      </c>
      <c r="G204" s="20">
        <f t="shared" si="3"/>
        <v>541.95595854922283</v>
      </c>
      <c r="H204" s="20" t="s">
        <v>479</v>
      </c>
    </row>
    <row r="205" spans="1:8" x14ac:dyDescent="0.25">
      <c r="A205" s="69">
        <v>43056</v>
      </c>
      <c r="B205" s="69" t="s">
        <v>684</v>
      </c>
      <c r="C205" s="73">
        <v>1990</v>
      </c>
      <c r="D205" s="118">
        <v>973</v>
      </c>
      <c r="E205" s="118">
        <v>22597</v>
      </c>
      <c r="F205" s="119">
        <v>116824.72</v>
      </c>
      <c r="G205" s="20">
        <f t="shared" si="3"/>
        <v>120.06651593011306</v>
      </c>
      <c r="H205" s="20" t="s">
        <v>778</v>
      </c>
    </row>
    <row r="206" spans="1:8" x14ac:dyDescent="0.25">
      <c r="A206" s="71">
        <v>43057</v>
      </c>
      <c r="B206" s="71" t="s">
        <v>685</v>
      </c>
      <c r="C206" s="75">
        <v>1990</v>
      </c>
      <c r="D206" s="118">
        <v>85</v>
      </c>
      <c r="E206" s="118">
        <v>2304</v>
      </c>
      <c r="F206" s="119">
        <v>16643.05</v>
      </c>
      <c r="G206" s="20">
        <f t="shared" si="3"/>
        <v>195.8005882352941</v>
      </c>
      <c r="H206" s="20" t="s">
        <v>778</v>
      </c>
    </row>
    <row r="207" spans="1:8" x14ac:dyDescent="0.25">
      <c r="A207" s="40">
        <v>8134</v>
      </c>
      <c r="B207" s="40" t="s">
        <v>150</v>
      </c>
      <c r="C207" s="41">
        <v>2012</v>
      </c>
      <c r="D207" s="40">
        <v>798</v>
      </c>
      <c r="E207" s="41">
        <v>58598</v>
      </c>
      <c r="F207" s="45">
        <v>407722</v>
      </c>
      <c r="G207" s="20">
        <f t="shared" si="3"/>
        <v>510.92982456140351</v>
      </c>
      <c r="H207" s="20" t="s">
        <v>86</v>
      </c>
    </row>
    <row r="208" spans="1:8" x14ac:dyDescent="0.25">
      <c r="A208" s="40">
        <v>8080</v>
      </c>
      <c r="B208" s="40" t="s">
        <v>151</v>
      </c>
      <c r="C208" s="41">
        <v>1989</v>
      </c>
      <c r="D208" s="40">
        <v>41</v>
      </c>
      <c r="E208" s="41">
        <v>1189</v>
      </c>
      <c r="F208" s="45">
        <v>6540</v>
      </c>
      <c r="G208" s="20">
        <f t="shared" si="3"/>
        <v>159.51219512195121</v>
      </c>
      <c r="H208" s="20" t="s">
        <v>86</v>
      </c>
    </row>
    <row r="209" spans="1:8" x14ac:dyDescent="0.25">
      <c r="A209" s="69">
        <v>43058</v>
      </c>
      <c r="B209" s="69" t="s">
        <v>686</v>
      </c>
      <c r="C209" s="73">
        <v>1990</v>
      </c>
      <c r="D209" s="118">
        <v>263</v>
      </c>
      <c r="E209" s="118">
        <v>3752</v>
      </c>
      <c r="F209" s="119">
        <v>22511.119999999999</v>
      </c>
      <c r="G209" s="20">
        <f t="shared" si="3"/>
        <v>85.593612167300378</v>
      </c>
      <c r="H209" s="20" t="s">
        <v>778</v>
      </c>
    </row>
    <row r="210" spans="1:8" x14ac:dyDescent="0.25">
      <c r="A210" s="58">
        <v>17066</v>
      </c>
      <c r="B210" s="58" t="s">
        <v>466</v>
      </c>
      <c r="C210" s="61">
        <v>1990</v>
      </c>
      <c r="D210" s="61">
        <v>32864</v>
      </c>
      <c r="E210" s="61">
        <v>1965797</v>
      </c>
      <c r="F210" s="61">
        <v>15618254</v>
      </c>
      <c r="G210" s="20">
        <f t="shared" si="3"/>
        <v>475.23898490749758</v>
      </c>
      <c r="H210" s="20" t="s">
        <v>479</v>
      </c>
    </row>
    <row r="211" spans="1:8" x14ac:dyDescent="0.25">
      <c r="A211" s="71">
        <v>43059</v>
      </c>
      <c r="B211" s="71" t="s">
        <v>687</v>
      </c>
      <c r="C211" s="75">
        <v>1990</v>
      </c>
      <c r="D211" s="118">
        <v>391</v>
      </c>
      <c r="E211" s="118">
        <v>9954</v>
      </c>
      <c r="F211" s="119">
        <v>78640.09</v>
      </c>
      <c r="G211" s="20">
        <f t="shared" si="3"/>
        <v>201.12554987212275</v>
      </c>
      <c r="H211" s="20" t="s">
        <v>778</v>
      </c>
    </row>
    <row r="212" spans="1:8" x14ac:dyDescent="0.25">
      <c r="A212" s="56">
        <v>17067</v>
      </c>
      <c r="B212" s="56" t="s">
        <v>467</v>
      </c>
      <c r="C212" s="59">
        <v>2007</v>
      </c>
      <c r="D212" s="62">
        <v>787</v>
      </c>
      <c r="E212" s="59">
        <v>63525</v>
      </c>
      <c r="F212" s="59">
        <v>285860</v>
      </c>
      <c r="G212" s="20">
        <f t="shared" si="3"/>
        <v>363.22744599745869</v>
      </c>
      <c r="H212" s="20" t="s">
        <v>479</v>
      </c>
    </row>
    <row r="213" spans="1:8" x14ac:dyDescent="0.25">
      <c r="A213" s="69">
        <v>43060</v>
      </c>
      <c r="B213" s="69" t="s">
        <v>688</v>
      </c>
      <c r="C213" s="73">
        <v>2005</v>
      </c>
      <c r="D213" s="118">
        <v>3645</v>
      </c>
      <c r="E213" s="118">
        <v>194168</v>
      </c>
      <c r="F213" s="119">
        <v>1048504.81</v>
      </c>
      <c r="G213" s="20">
        <f t="shared" si="3"/>
        <v>287.65564060356655</v>
      </c>
      <c r="H213" s="20" t="s">
        <v>778</v>
      </c>
    </row>
    <row r="214" spans="1:8" x14ac:dyDescent="0.25">
      <c r="A214" s="40">
        <v>8082</v>
      </c>
      <c r="B214" s="40" t="s">
        <v>152</v>
      </c>
      <c r="C214" s="41">
        <v>1987</v>
      </c>
      <c r="D214" s="41">
        <v>1248</v>
      </c>
      <c r="E214" s="41">
        <v>79450</v>
      </c>
      <c r="F214" s="45">
        <v>691219</v>
      </c>
      <c r="G214" s="20">
        <f t="shared" si="3"/>
        <v>553.86137820512818</v>
      </c>
      <c r="H214" s="20" t="s">
        <v>86</v>
      </c>
    </row>
    <row r="215" spans="1:8" x14ac:dyDescent="0.25">
      <c r="A215" s="40">
        <v>8081</v>
      </c>
      <c r="B215" s="40" t="s">
        <v>153</v>
      </c>
      <c r="C215" s="41">
        <v>1987</v>
      </c>
      <c r="D215" s="40">
        <v>313</v>
      </c>
      <c r="E215" s="41">
        <v>24054</v>
      </c>
      <c r="F215" s="45">
        <v>153949</v>
      </c>
      <c r="G215" s="20">
        <f t="shared" si="3"/>
        <v>491.84984025559106</v>
      </c>
      <c r="H215" s="20" t="s">
        <v>86</v>
      </c>
    </row>
    <row r="216" spans="1:8" x14ac:dyDescent="0.25">
      <c r="A216" s="58">
        <v>17068</v>
      </c>
      <c r="B216" s="58" t="s">
        <v>468</v>
      </c>
      <c r="C216" s="61">
        <v>2003</v>
      </c>
      <c r="D216" s="63">
        <v>294</v>
      </c>
      <c r="E216" s="61">
        <v>29732</v>
      </c>
      <c r="F216" s="61">
        <v>133792</v>
      </c>
      <c r="G216" s="20">
        <f t="shared" si="3"/>
        <v>455.07482993197277</v>
      </c>
      <c r="H216" s="20" t="s">
        <v>479</v>
      </c>
    </row>
    <row r="217" spans="1:8" x14ac:dyDescent="0.25">
      <c r="A217" s="40">
        <v>8083</v>
      </c>
      <c r="B217" s="40" t="s">
        <v>154</v>
      </c>
      <c r="C217" s="41">
        <v>2008</v>
      </c>
      <c r="D217" s="41">
        <v>1230</v>
      </c>
      <c r="E217" s="41">
        <v>78382</v>
      </c>
      <c r="F217" s="45">
        <v>554157</v>
      </c>
      <c r="G217" s="20">
        <f t="shared" si="3"/>
        <v>450.53414634146344</v>
      </c>
      <c r="H217" s="20" t="s">
        <v>86</v>
      </c>
    </row>
    <row r="218" spans="1:8" x14ac:dyDescent="0.25">
      <c r="A218" s="40">
        <v>8084</v>
      </c>
      <c r="B218" s="40" t="s">
        <v>155</v>
      </c>
      <c r="C218" s="41">
        <v>2008</v>
      </c>
      <c r="D218" s="40">
        <v>863</v>
      </c>
      <c r="E218" s="41">
        <v>40381</v>
      </c>
      <c r="F218" s="45">
        <v>290746</v>
      </c>
      <c r="G218" s="20">
        <f t="shared" si="3"/>
        <v>336.90150637311706</v>
      </c>
      <c r="H218" s="20" t="s">
        <v>86</v>
      </c>
    </row>
    <row r="219" spans="1:8" x14ac:dyDescent="0.25">
      <c r="A219" s="56">
        <v>17069</v>
      </c>
      <c r="B219" s="56" t="s">
        <v>469</v>
      </c>
      <c r="C219" s="59">
        <v>1989</v>
      </c>
      <c r="D219" s="59">
        <v>1605</v>
      </c>
      <c r="E219" s="59">
        <v>102834</v>
      </c>
      <c r="F219" s="59">
        <v>503885</v>
      </c>
      <c r="G219" s="20">
        <f t="shared" si="3"/>
        <v>313.94704049844239</v>
      </c>
      <c r="H219" s="20" t="s">
        <v>479</v>
      </c>
    </row>
    <row r="220" spans="1:8" x14ac:dyDescent="0.25">
      <c r="A220" s="58">
        <v>17070</v>
      </c>
      <c r="B220" s="58" t="s">
        <v>470</v>
      </c>
      <c r="C220" s="61">
        <v>1989</v>
      </c>
      <c r="D220" s="63">
        <v>155</v>
      </c>
      <c r="E220" s="61">
        <v>18588</v>
      </c>
      <c r="F220" s="61">
        <v>102235</v>
      </c>
      <c r="G220" s="20">
        <f t="shared" si="3"/>
        <v>659.58064516129036</v>
      </c>
      <c r="H220" s="20" t="s">
        <v>479</v>
      </c>
    </row>
    <row r="221" spans="1:8" x14ac:dyDescent="0.25">
      <c r="A221" s="56">
        <v>17071</v>
      </c>
      <c r="B221" s="56" t="s">
        <v>471</v>
      </c>
      <c r="C221" s="59">
        <v>1986</v>
      </c>
      <c r="D221" s="62">
        <v>808</v>
      </c>
      <c r="E221" s="59">
        <v>39268</v>
      </c>
      <c r="F221" s="59">
        <v>263094</v>
      </c>
      <c r="G221" s="20">
        <f t="shared" si="3"/>
        <v>325.61138613861385</v>
      </c>
      <c r="H221" s="20" t="s">
        <v>479</v>
      </c>
    </row>
    <row r="222" spans="1:8" x14ac:dyDescent="0.25">
      <c r="A222" s="40">
        <v>8085</v>
      </c>
      <c r="B222" s="40" t="s">
        <v>156</v>
      </c>
      <c r="C222" s="41">
        <v>2008</v>
      </c>
      <c r="D222" s="40">
        <v>737</v>
      </c>
      <c r="E222" s="41">
        <v>50386</v>
      </c>
      <c r="F222" s="45">
        <v>272085</v>
      </c>
      <c r="G222" s="20">
        <f t="shared" si="3"/>
        <v>369.17910447761193</v>
      </c>
      <c r="H222" s="20" t="s">
        <v>86</v>
      </c>
    </row>
    <row r="223" spans="1:8" x14ac:dyDescent="0.25">
      <c r="A223" s="58">
        <v>17902</v>
      </c>
      <c r="B223" s="58" t="s">
        <v>472</v>
      </c>
      <c r="C223" s="61">
        <v>2000</v>
      </c>
      <c r="D223" s="61">
        <v>1484</v>
      </c>
      <c r="E223" s="61">
        <v>192976</v>
      </c>
      <c r="F223" s="61">
        <v>1120609</v>
      </c>
      <c r="G223" s="20">
        <f t="shared" si="3"/>
        <v>755.12735849056605</v>
      </c>
      <c r="H223" s="20" t="s">
        <v>479</v>
      </c>
    </row>
    <row r="224" spans="1:8" x14ac:dyDescent="0.25">
      <c r="A224" s="71">
        <v>43061</v>
      </c>
      <c r="B224" s="71" t="s">
        <v>689</v>
      </c>
      <c r="C224" s="75">
        <v>1990</v>
      </c>
      <c r="D224" s="118">
        <v>164</v>
      </c>
      <c r="E224" s="118">
        <v>5091</v>
      </c>
      <c r="F224" s="119">
        <v>22911.37</v>
      </c>
      <c r="G224" s="20">
        <f t="shared" si="3"/>
        <v>139.70347560975608</v>
      </c>
      <c r="H224" s="20" t="s">
        <v>778</v>
      </c>
    </row>
    <row r="225" spans="1:8" x14ac:dyDescent="0.25">
      <c r="A225" s="56">
        <v>17073</v>
      </c>
      <c r="B225" s="56" t="s">
        <v>473</v>
      </c>
      <c r="C225" s="59">
        <v>1987</v>
      </c>
      <c r="D225" s="59">
        <v>1796</v>
      </c>
      <c r="E225" s="59">
        <v>109941</v>
      </c>
      <c r="F225" s="59">
        <v>978473</v>
      </c>
      <c r="G225" s="20">
        <f t="shared" si="3"/>
        <v>544.80679287305122</v>
      </c>
      <c r="H225" s="20" t="s">
        <v>479</v>
      </c>
    </row>
    <row r="226" spans="1:8" x14ac:dyDescent="0.25">
      <c r="A226" s="58">
        <v>17074</v>
      </c>
      <c r="B226" s="58" t="s">
        <v>474</v>
      </c>
      <c r="C226" s="61">
        <v>1989</v>
      </c>
      <c r="D226" s="63">
        <v>538</v>
      </c>
      <c r="E226" s="61">
        <v>27494</v>
      </c>
      <c r="F226" s="61">
        <v>153968</v>
      </c>
      <c r="G226" s="20">
        <f t="shared" si="3"/>
        <v>286.18587360594796</v>
      </c>
      <c r="H226" s="20" t="s">
        <v>479</v>
      </c>
    </row>
    <row r="227" spans="1:8" x14ac:dyDescent="0.25">
      <c r="A227" s="40">
        <v>8086</v>
      </c>
      <c r="B227" s="40" t="s">
        <v>157</v>
      </c>
      <c r="C227" s="41">
        <v>1999</v>
      </c>
      <c r="D227" s="41">
        <v>14124</v>
      </c>
      <c r="E227" s="41">
        <v>781850</v>
      </c>
      <c r="F227" s="45">
        <v>5089841</v>
      </c>
      <c r="G227" s="20">
        <f t="shared" si="3"/>
        <v>360.36823845935993</v>
      </c>
      <c r="H227" s="20" t="s">
        <v>86</v>
      </c>
    </row>
    <row r="228" spans="1:8" x14ac:dyDescent="0.25">
      <c r="A228" s="69">
        <v>43062</v>
      </c>
      <c r="B228" s="69" t="s">
        <v>690</v>
      </c>
      <c r="C228" s="73">
        <v>1986</v>
      </c>
      <c r="D228" s="118">
        <v>572</v>
      </c>
      <c r="E228" s="118">
        <v>10230</v>
      </c>
      <c r="F228" s="119">
        <v>78772.66</v>
      </c>
      <c r="G228" s="20">
        <f t="shared" si="3"/>
        <v>137.71444055944056</v>
      </c>
      <c r="H228" s="20" t="s">
        <v>778</v>
      </c>
    </row>
    <row r="229" spans="1:8" x14ac:dyDescent="0.25">
      <c r="A229" s="40">
        <v>8090</v>
      </c>
      <c r="B229" s="40" t="s">
        <v>158</v>
      </c>
      <c r="C229" s="41">
        <v>1988</v>
      </c>
      <c r="D229" s="40">
        <v>174</v>
      </c>
      <c r="E229" s="41">
        <v>6759</v>
      </c>
      <c r="F229" s="45">
        <v>27035</v>
      </c>
      <c r="G229" s="20">
        <f t="shared" si="3"/>
        <v>155.37356321839081</v>
      </c>
      <c r="H229" s="20" t="s">
        <v>86</v>
      </c>
    </row>
    <row r="230" spans="1:8" x14ac:dyDescent="0.25">
      <c r="A230" s="71">
        <v>43063</v>
      </c>
      <c r="B230" s="71" t="s">
        <v>691</v>
      </c>
      <c r="C230" s="75">
        <v>1986</v>
      </c>
      <c r="D230" s="118">
        <v>740</v>
      </c>
      <c r="E230" s="118">
        <v>17004</v>
      </c>
      <c r="F230" s="119">
        <v>136028.47</v>
      </c>
      <c r="G230" s="20">
        <f t="shared" si="3"/>
        <v>183.82225675675676</v>
      </c>
      <c r="H230" s="20" t="s">
        <v>778</v>
      </c>
    </row>
    <row r="231" spans="1:8" x14ac:dyDescent="0.25">
      <c r="A231" s="40">
        <v>8087</v>
      </c>
      <c r="B231" s="40" t="s">
        <v>159</v>
      </c>
      <c r="C231" s="41">
        <v>2009</v>
      </c>
      <c r="D231" s="40">
        <v>179</v>
      </c>
      <c r="E231" s="41">
        <v>12640</v>
      </c>
      <c r="F231" s="45">
        <v>63201</v>
      </c>
      <c r="G231" s="20">
        <f t="shared" si="3"/>
        <v>353.07821229050279</v>
      </c>
      <c r="H231" s="20" t="s">
        <v>86</v>
      </c>
    </row>
    <row r="232" spans="1:8" x14ac:dyDescent="0.25">
      <c r="A232" s="69">
        <v>43064</v>
      </c>
      <c r="B232" s="69" t="s">
        <v>692</v>
      </c>
      <c r="C232" s="73">
        <v>1990</v>
      </c>
      <c r="D232" s="118">
        <v>2231</v>
      </c>
      <c r="E232" s="118">
        <v>92612</v>
      </c>
      <c r="F232" s="119">
        <v>555674.28</v>
      </c>
      <c r="G232" s="20">
        <f t="shared" si="3"/>
        <v>249.0696010757508</v>
      </c>
      <c r="H232" s="20" t="s">
        <v>778</v>
      </c>
    </row>
    <row r="233" spans="1:8" x14ac:dyDescent="0.25">
      <c r="A233" s="71">
        <v>43065</v>
      </c>
      <c r="B233" s="71" t="s">
        <v>693</v>
      </c>
      <c r="C233" s="75">
        <v>2005</v>
      </c>
      <c r="D233" s="118">
        <v>640</v>
      </c>
      <c r="E233" s="118">
        <v>31288</v>
      </c>
      <c r="F233" s="119">
        <v>140795.46</v>
      </c>
      <c r="G233" s="20">
        <f t="shared" si="3"/>
        <v>219.99290624999998</v>
      </c>
      <c r="H233" s="20" t="s">
        <v>778</v>
      </c>
    </row>
    <row r="234" spans="1:8" x14ac:dyDescent="0.25">
      <c r="A234" s="69">
        <v>43066</v>
      </c>
      <c r="B234" s="69" t="s">
        <v>694</v>
      </c>
      <c r="C234" s="73">
        <v>2007</v>
      </c>
      <c r="D234" s="118">
        <v>210</v>
      </c>
      <c r="E234" s="118">
        <v>9534</v>
      </c>
      <c r="F234" s="119">
        <v>67033.05</v>
      </c>
      <c r="G234" s="20">
        <f t="shared" si="3"/>
        <v>319.20500000000004</v>
      </c>
      <c r="H234" s="20" t="s">
        <v>778</v>
      </c>
    </row>
    <row r="235" spans="1:8" x14ac:dyDescent="0.25">
      <c r="A235" s="40">
        <v>8088</v>
      </c>
      <c r="B235" s="40" t="s">
        <v>160</v>
      </c>
      <c r="C235" s="41">
        <v>2004</v>
      </c>
      <c r="D235" s="41">
        <v>11359</v>
      </c>
      <c r="E235" s="41">
        <v>940802</v>
      </c>
      <c r="F235" s="45">
        <v>5484875</v>
      </c>
      <c r="G235" s="20">
        <f t="shared" si="3"/>
        <v>482.86600933180739</v>
      </c>
      <c r="H235" s="20" t="s">
        <v>86</v>
      </c>
    </row>
    <row r="236" spans="1:8" x14ac:dyDescent="0.25">
      <c r="A236" s="56">
        <v>17075</v>
      </c>
      <c r="B236" s="56" t="s">
        <v>475</v>
      </c>
      <c r="C236" s="59">
        <v>1989</v>
      </c>
      <c r="D236" s="62">
        <v>352</v>
      </c>
      <c r="E236" s="59">
        <v>17282</v>
      </c>
      <c r="F236" s="59">
        <v>69126</v>
      </c>
      <c r="G236" s="20">
        <f t="shared" si="3"/>
        <v>196.38068181818181</v>
      </c>
      <c r="H236" s="20" t="s">
        <v>479</v>
      </c>
    </row>
    <row r="237" spans="1:8" x14ac:dyDescent="0.25">
      <c r="A237" s="58">
        <v>17076</v>
      </c>
      <c r="B237" s="58" t="s">
        <v>476</v>
      </c>
      <c r="C237" s="61">
        <v>1989</v>
      </c>
      <c r="D237" s="63">
        <v>161</v>
      </c>
      <c r="E237" s="61">
        <v>8737</v>
      </c>
      <c r="F237" s="61">
        <v>52423</v>
      </c>
      <c r="G237" s="20">
        <f t="shared" si="3"/>
        <v>325.60869565217394</v>
      </c>
      <c r="H237" s="20" t="s">
        <v>479</v>
      </c>
    </row>
    <row r="238" spans="1:8" x14ac:dyDescent="0.25">
      <c r="A238" s="56">
        <v>17077</v>
      </c>
      <c r="B238" s="56" t="s">
        <v>477</v>
      </c>
      <c r="C238" s="59">
        <v>1989</v>
      </c>
      <c r="D238" s="62">
        <v>791</v>
      </c>
      <c r="E238" s="59">
        <v>44023</v>
      </c>
      <c r="F238" s="59">
        <v>413816</v>
      </c>
      <c r="G238" s="20">
        <f t="shared" si="3"/>
        <v>523.15549936788875</v>
      </c>
      <c r="H238" s="20" t="s">
        <v>479</v>
      </c>
    </row>
    <row r="239" spans="1:8" x14ac:dyDescent="0.25">
      <c r="A239" s="40">
        <v>8089</v>
      </c>
      <c r="B239" s="40" t="s">
        <v>161</v>
      </c>
      <c r="C239" s="41">
        <v>2001</v>
      </c>
      <c r="D239" s="41">
        <v>29925</v>
      </c>
      <c r="E239" s="41">
        <v>2208675</v>
      </c>
      <c r="F239" s="45">
        <v>14223868</v>
      </c>
      <c r="G239" s="20">
        <f t="shared" si="3"/>
        <v>475.31722639933167</v>
      </c>
      <c r="H239" s="20" t="s">
        <v>86</v>
      </c>
    </row>
    <row r="240" spans="1:8" x14ac:dyDescent="0.25">
      <c r="A240" s="40">
        <v>8091</v>
      </c>
      <c r="B240" s="40" t="s">
        <v>162</v>
      </c>
      <c r="C240" s="41">
        <v>1996</v>
      </c>
      <c r="D240" s="41">
        <v>5764</v>
      </c>
      <c r="E240" s="41">
        <v>304388</v>
      </c>
      <c r="F240" s="45">
        <v>2027224</v>
      </c>
      <c r="G240" s="20">
        <f t="shared" si="3"/>
        <v>351.70437196391396</v>
      </c>
      <c r="H240" s="20" t="s">
        <v>86</v>
      </c>
    </row>
    <row r="241" spans="1:8" x14ac:dyDescent="0.25">
      <c r="A241" s="58">
        <v>17078</v>
      </c>
      <c r="B241" s="58" t="s">
        <v>478</v>
      </c>
      <c r="C241" s="61">
        <v>1989</v>
      </c>
      <c r="D241" s="63">
        <v>948</v>
      </c>
      <c r="E241" s="61">
        <v>67590</v>
      </c>
      <c r="F241" s="61">
        <v>452849</v>
      </c>
      <c r="G241" s="20">
        <f t="shared" si="3"/>
        <v>477.68881856540082</v>
      </c>
      <c r="H241" s="20" t="s">
        <v>479</v>
      </c>
    </row>
    <row r="242" spans="1:8" x14ac:dyDescent="0.25">
      <c r="A242" s="71">
        <v>43067</v>
      </c>
      <c r="B242" s="71" t="s">
        <v>695</v>
      </c>
      <c r="C242" s="75">
        <v>1990</v>
      </c>
      <c r="D242" s="118">
        <v>918</v>
      </c>
      <c r="E242" s="118">
        <v>22399</v>
      </c>
      <c r="F242" s="119">
        <v>179189.64</v>
      </c>
      <c r="G242" s="20">
        <f t="shared" si="3"/>
        <v>195.19568627450982</v>
      </c>
      <c r="H242" s="20" t="s">
        <v>778</v>
      </c>
    </row>
    <row r="243" spans="1:8" x14ac:dyDescent="0.25">
      <c r="A243" s="56">
        <v>17079</v>
      </c>
      <c r="B243" s="56" t="s">
        <v>479</v>
      </c>
      <c r="C243" s="59">
        <v>1990</v>
      </c>
      <c r="D243" s="59">
        <v>79362</v>
      </c>
      <c r="E243" s="59">
        <v>3582159</v>
      </c>
      <c r="F243" s="59">
        <v>32490178</v>
      </c>
      <c r="G243" s="20">
        <f t="shared" si="3"/>
        <v>409.39212721453595</v>
      </c>
      <c r="H243" s="20" t="s">
        <v>479</v>
      </c>
    </row>
    <row r="244" spans="1:8" x14ac:dyDescent="0.25">
      <c r="A244" s="40">
        <v>8092</v>
      </c>
      <c r="B244" s="40" t="s">
        <v>163</v>
      </c>
      <c r="C244" s="41">
        <v>1986</v>
      </c>
      <c r="D244" s="41">
        <v>3438</v>
      </c>
      <c r="E244" s="41">
        <v>120344</v>
      </c>
      <c r="F244" s="45">
        <v>998854</v>
      </c>
      <c r="G244" s="20">
        <f t="shared" si="3"/>
        <v>290.53344968004654</v>
      </c>
      <c r="H244" s="20" t="s">
        <v>86</v>
      </c>
    </row>
    <row r="245" spans="1:8" x14ac:dyDescent="0.25">
      <c r="A245" s="40">
        <v>8093</v>
      </c>
      <c r="B245" s="40" t="s">
        <v>164</v>
      </c>
      <c r="C245" s="41">
        <v>1989</v>
      </c>
      <c r="D245" s="40">
        <v>49</v>
      </c>
      <c r="E245" s="41">
        <v>1702</v>
      </c>
      <c r="F245" s="45">
        <v>9529</v>
      </c>
      <c r="G245" s="20">
        <f t="shared" si="3"/>
        <v>194.46938775510205</v>
      </c>
      <c r="H245" s="20" t="s">
        <v>86</v>
      </c>
    </row>
    <row r="246" spans="1:8" x14ac:dyDescent="0.25">
      <c r="A246" s="69">
        <v>43068</v>
      </c>
      <c r="B246" s="69" t="s">
        <v>696</v>
      </c>
      <c r="C246" s="73">
        <v>1986</v>
      </c>
      <c r="D246" s="118">
        <v>937</v>
      </c>
      <c r="E246" s="118">
        <v>18523</v>
      </c>
      <c r="F246" s="119">
        <v>155591.76</v>
      </c>
      <c r="G246" s="20">
        <f t="shared" si="3"/>
        <v>166.05310565635006</v>
      </c>
      <c r="H246" s="20" t="s">
        <v>778</v>
      </c>
    </row>
    <row r="247" spans="1:8" x14ac:dyDescent="0.25">
      <c r="A247" s="58">
        <v>17080</v>
      </c>
      <c r="B247" s="58" t="s">
        <v>480</v>
      </c>
      <c r="C247" s="61">
        <v>2003</v>
      </c>
      <c r="D247" s="63">
        <v>320</v>
      </c>
      <c r="E247" s="61">
        <v>12556</v>
      </c>
      <c r="F247" s="61">
        <v>80360</v>
      </c>
      <c r="G247" s="20">
        <f t="shared" si="3"/>
        <v>251.125</v>
      </c>
      <c r="H247" s="20" t="s">
        <v>479</v>
      </c>
    </row>
    <row r="248" spans="1:8" x14ac:dyDescent="0.25">
      <c r="A248" s="40">
        <v>8094</v>
      </c>
      <c r="B248" s="40" t="s">
        <v>165</v>
      </c>
      <c r="C248" s="41">
        <v>1988</v>
      </c>
      <c r="D248" s="41">
        <v>1332</v>
      </c>
      <c r="E248" s="41">
        <v>73622</v>
      </c>
      <c r="F248" s="45">
        <v>587614</v>
      </c>
      <c r="G248" s="20">
        <f t="shared" si="3"/>
        <v>441.15165165165166</v>
      </c>
      <c r="H248" s="20" t="s">
        <v>86</v>
      </c>
    </row>
    <row r="249" spans="1:8" x14ac:dyDescent="0.25">
      <c r="A249" s="40">
        <v>8095</v>
      </c>
      <c r="B249" s="40" t="s">
        <v>166</v>
      </c>
      <c r="C249" s="41">
        <v>1989</v>
      </c>
      <c r="D249" s="40">
        <v>162</v>
      </c>
      <c r="E249" s="41">
        <v>5456</v>
      </c>
      <c r="F249" s="45">
        <v>45499</v>
      </c>
      <c r="G249" s="20">
        <f t="shared" si="3"/>
        <v>280.85802469135803</v>
      </c>
      <c r="H249" s="20" t="s">
        <v>86</v>
      </c>
    </row>
    <row r="250" spans="1:8" x14ac:dyDescent="0.25">
      <c r="A250" s="40">
        <v>8096</v>
      </c>
      <c r="B250" s="40" t="s">
        <v>167</v>
      </c>
      <c r="C250" s="41">
        <v>1998</v>
      </c>
      <c r="D250" s="41">
        <v>46807</v>
      </c>
      <c r="E250" s="41">
        <v>2039500</v>
      </c>
      <c r="F250" s="45">
        <v>18719660</v>
      </c>
      <c r="G250" s="20">
        <f t="shared" si="3"/>
        <v>399.93291601683507</v>
      </c>
      <c r="H250" s="20" t="s">
        <v>86</v>
      </c>
    </row>
    <row r="251" spans="1:8" x14ac:dyDescent="0.25">
      <c r="A251" s="71">
        <v>43069</v>
      </c>
      <c r="B251" s="71" t="s">
        <v>697</v>
      </c>
      <c r="C251" s="75">
        <v>1990</v>
      </c>
      <c r="D251" s="118">
        <v>308</v>
      </c>
      <c r="E251" s="118">
        <v>12052</v>
      </c>
      <c r="F251" s="119">
        <v>78336.22</v>
      </c>
      <c r="G251" s="20">
        <f t="shared" si="3"/>
        <v>254.33837662337663</v>
      </c>
      <c r="H251" s="20" t="s">
        <v>778</v>
      </c>
    </row>
    <row r="252" spans="1:8" x14ac:dyDescent="0.25">
      <c r="A252" s="40">
        <v>8097</v>
      </c>
      <c r="B252" s="40" t="s">
        <v>168</v>
      </c>
      <c r="C252" s="41">
        <v>2002</v>
      </c>
      <c r="D252" s="41">
        <v>1227</v>
      </c>
      <c r="E252" s="41">
        <v>94945</v>
      </c>
      <c r="F252" s="45">
        <v>674110</v>
      </c>
      <c r="G252" s="20">
        <f t="shared" si="3"/>
        <v>549.3969030154849</v>
      </c>
      <c r="H252" s="20" t="s">
        <v>86</v>
      </c>
    </row>
    <row r="253" spans="1:8" x14ac:dyDescent="0.25">
      <c r="A253" s="56">
        <v>17081</v>
      </c>
      <c r="B253" s="56" t="s">
        <v>481</v>
      </c>
      <c r="C253" s="59">
        <v>1989</v>
      </c>
      <c r="D253" s="62">
        <v>630</v>
      </c>
      <c r="E253" s="59">
        <v>35824</v>
      </c>
      <c r="F253" s="59">
        <v>214946</v>
      </c>
      <c r="G253" s="20">
        <f t="shared" si="3"/>
        <v>341.18412698412698</v>
      </c>
      <c r="H253" s="20" t="s">
        <v>479</v>
      </c>
    </row>
    <row r="254" spans="1:8" x14ac:dyDescent="0.25">
      <c r="A254" s="40">
        <v>8099</v>
      </c>
      <c r="B254" s="40" t="s">
        <v>169</v>
      </c>
      <c r="C254" s="41">
        <v>1986</v>
      </c>
      <c r="D254" s="40">
        <v>998</v>
      </c>
      <c r="E254" s="41">
        <v>35005</v>
      </c>
      <c r="F254" s="45">
        <v>253783</v>
      </c>
      <c r="G254" s="20">
        <f t="shared" si="3"/>
        <v>254.29158316633266</v>
      </c>
      <c r="H254" s="20" t="s">
        <v>86</v>
      </c>
    </row>
    <row r="255" spans="1:8" x14ac:dyDescent="0.25">
      <c r="A255" s="69">
        <v>43070</v>
      </c>
      <c r="B255" s="69" t="s">
        <v>698</v>
      </c>
      <c r="C255" s="73">
        <v>1990</v>
      </c>
      <c r="D255" s="118">
        <v>277</v>
      </c>
      <c r="E255" s="118">
        <v>5832</v>
      </c>
      <c r="F255" s="119">
        <v>33591.89</v>
      </c>
      <c r="G255" s="20">
        <f t="shared" si="3"/>
        <v>121.27036101083033</v>
      </c>
      <c r="H255" s="20" t="s">
        <v>778</v>
      </c>
    </row>
    <row r="256" spans="1:8" x14ac:dyDescent="0.25">
      <c r="A256" s="58">
        <v>17082</v>
      </c>
      <c r="B256" s="58" t="s">
        <v>482</v>
      </c>
      <c r="C256" s="61">
        <v>1989</v>
      </c>
      <c r="D256" s="61">
        <v>1231</v>
      </c>
      <c r="E256" s="61">
        <v>105806</v>
      </c>
      <c r="F256" s="61">
        <v>571352</v>
      </c>
      <c r="G256" s="20">
        <f t="shared" si="3"/>
        <v>464.13647441104791</v>
      </c>
      <c r="H256" s="20" t="s">
        <v>479</v>
      </c>
    </row>
    <row r="257" spans="1:8" x14ac:dyDescent="0.25">
      <c r="A257" s="40">
        <v>8100</v>
      </c>
      <c r="B257" s="40" t="s">
        <v>170</v>
      </c>
      <c r="C257" s="41">
        <v>1987</v>
      </c>
      <c r="D257" s="41">
        <v>1368</v>
      </c>
      <c r="E257" s="41">
        <v>137042</v>
      </c>
      <c r="F257" s="45">
        <v>781138</v>
      </c>
      <c r="G257" s="20">
        <f t="shared" si="3"/>
        <v>571.00730994152048</v>
      </c>
      <c r="H257" s="20" t="s">
        <v>86</v>
      </c>
    </row>
    <row r="258" spans="1:8" x14ac:dyDescent="0.25">
      <c r="A258" s="71">
        <v>43071</v>
      </c>
      <c r="B258" s="71" t="s">
        <v>699</v>
      </c>
      <c r="C258" s="75">
        <v>1990</v>
      </c>
      <c r="D258" s="118">
        <v>1375</v>
      </c>
      <c r="E258" s="118">
        <v>31726</v>
      </c>
      <c r="F258" s="119">
        <v>190354.25</v>
      </c>
      <c r="G258" s="20">
        <f t="shared" ref="G258:G321" si="4">F258/D258</f>
        <v>138.43945454545454</v>
      </c>
      <c r="H258" s="20" t="s">
        <v>778</v>
      </c>
    </row>
    <row r="259" spans="1:8" x14ac:dyDescent="0.25">
      <c r="A259" s="40">
        <v>8101</v>
      </c>
      <c r="B259" s="40" t="s">
        <v>171</v>
      </c>
      <c r="C259" s="41">
        <v>2000</v>
      </c>
      <c r="D259" s="41">
        <v>159597</v>
      </c>
      <c r="E259" s="41">
        <v>8338192</v>
      </c>
      <c r="F259" s="45">
        <v>72240643</v>
      </c>
      <c r="G259" s="20">
        <f t="shared" si="4"/>
        <v>452.6441161174709</v>
      </c>
      <c r="H259" s="20" t="s">
        <v>86</v>
      </c>
    </row>
    <row r="260" spans="1:8" x14ac:dyDescent="0.25">
      <c r="A260" s="40">
        <v>8162</v>
      </c>
      <c r="B260" s="40" t="s">
        <v>172</v>
      </c>
      <c r="C260" s="41">
        <v>1987</v>
      </c>
      <c r="D260" s="41">
        <v>2114</v>
      </c>
      <c r="E260" s="41">
        <v>129230</v>
      </c>
      <c r="F260" s="45">
        <v>827074</v>
      </c>
      <c r="G260" s="20">
        <f t="shared" si="4"/>
        <v>391.23651844843897</v>
      </c>
      <c r="H260" s="20" t="s">
        <v>86</v>
      </c>
    </row>
    <row r="261" spans="1:8" x14ac:dyDescent="0.25">
      <c r="A261" s="56">
        <v>17083</v>
      </c>
      <c r="B261" s="56" t="s">
        <v>483</v>
      </c>
      <c r="C261" s="59">
        <v>2006</v>
      </c>
      <c r="D261" s="59">
        <v>3246</v>
      </c>
      <c r="E261" s="59">
        <v>213107</v>
      </c>
      <c r="F261" s="59">
        <v>1640925</v>
      </c>
      <c r="G261" s="20">
        <f t="shared" si="4"/>
        <v>505.5221811460259</v>
      </c>
      <c r="H261" s="20" t="s">
        <v>479</v>
      </c>
    </row>
    <row r="262" spans="1:8" x14ac:dyDescent="0.25">
      <c r="A262" s="40">
        <v>8102</v>
      </c>
      <c r="B262" s="40" t="s">
        <v>173</v>
      </c>
      <c r="C262" s="41">
        <v>2010</v>
      </c>
      <c r="D262" s="41">
        <v>32328</v>
      </c>
      <c r="E262" s="41">
        <v>2364611</v>
      </c>
      <c r="F262" s="45">
        <v>20442025</v>
      </c>
      <c r="G262" s="20">
        <f t="shared" si="4"/>
        <v>632.33187948527598</v>
      </c>
      <c r="H262" s="20" t="s">
        <v>86</v>
      </c>
    </row>
    <row r="263" spans="1:8" x14ac:dyDescent="0.25">
      <c r="A263" s="58">
        <v>17084</v>
      </c>
      <c r="B263" s="58" t="s">
        <v>484</v>
      </c>
      <c r="C263" s="61">
        <v>1989</v>
      </c>
      <c r="D263" s="63">
        <v>605</v>
      </c>
      <c r="E263" s="61">
        <v>33780</v>
      </c>
      <c r="F263" s="61">
        <v>202680</v>
      </c>
      <c r="G263" s="20">
        <f t="shared" si="4"/>
        <v>335.0082644628099</v>
      </c>
      <c r="H263" s="20" t="s">
        <v>479</v>
      </c>
    </row>
    <row r="264" spans="1:8" x14ac:dyDescent="0.25">
      <c r="A264" s="56">
        <v>17085</v>
      </c>
      <c r="B264" s="56" t="s">
        <v>485</v>
      </c>
      <c r="C264" s="59">
        <v>1989</v>
      </c>
      <c r="D264" s="62">
        <v>276</v>
      </c>
      <c r="E264" s="59">
        <v>12794</v>
      </c>
      <c r="F264" s="59">
        <v>84439</v>
      </c>
      <c r="G264" s="20">
        <f t="shared" si="4"/>
        <v>305.93840579710144</v>
      </c>
      <c r="H264" s="20" t="s">
        <v>479</v>
      </c>
    </row>
    <row r="265" spans="1:8" x14ac:dyDescent="0.25">
      <c r="A265" s="58">
        <v>17086</v>
      </c>
      <c r="B265" s="58" t="s">
        <v>486</v>
      </c>
      <c r="C265" s="61">
        <v>1996</v>
      </c>
      <c r="D265" s="61">
        <v>2433</v>
      </c>
      <c r="E265" s="61">
        <v>208592</v>
      </c>
      <c r="F265" s="61">
        <v>1752171</v>
      </c>
      <c r="G265" s="20">
        <f t="shared" si="4"/>
        <v>720.16892725030823</v>
      </c>
      <c r="H265" s="20" t="s">
        <v>479</v>
      </c>
    </row>
    <row r="266" spans="1:8" x14ac:dyDescent="0.25">
      <c r="A266" s="40">
        <v>8103</v>
      </c>
      <c r="B266" s="40" t="s">
        <v>174</v>
      </c>
      <c r="C266" s="41">
        <v>1989</v>
      </c>
      <c r="D266" s="40">
        <v>664</v>
      </c>
      <c r="E266" s="41">
        <v>30101</v>
      </c>
      <c r="F266" s="45">
        <v>237797</v>
      </c>
      <c r="G266" s="20">
        <f t="shared" si="4"/>
        <v>358.12801204819277</v>
      </c>
      <c r="H266" s="20" t="s">
        <v>86</v>
      </c>
    </row>
    <row r="267" spans="1:8" x14ac:dyDescent="0.25">
      <c r="A267" s="56">
        <v>17087</v>
      </c>
      <c r="B267" s="56" t="s">
        <v>487</v>
      </c>
      <c r="C267" s="59">
        <v>1989</v>
      </c>
      <c r="D267" s="62">
        <v>213</v>
      </c>
      <c r="E267" s="59">
        <v>13125</v>
      </c>
      <c r="F267" s="59">
        <v>78751</v>
      </c>
      <c r="G267" s="20">
        <f t="shared" si="4"/>
        <v>369.72300469483571</v>
      </c>
      <c r="H267" s="20" t="s">
        <v>479</v>
      </c>
    </row>
    <row r="268" spans="1:8" x14ac:dyDescent="0.25">
      <c r="A268" s="40">
        <v>8104</v>
      </c>
      <c r="B268" s="40" t="s">
        <v>175</v>
      </c>
      <c r="C268" s="41">
        <v>1988</v>
      </c>
      <c r="D268" s="41">
        <v>1007</v>
      </c>
      <c r="E268" s="41">
        <v>27788</v>
      </c>
      <c r="F268" s="45">
        <v>305664</v>
      </c>
      <c r="G268" s="20">
        <f t="shared" si="4"/>
        <v>303.53922542204566</v>
      </c>
      <c r="H268" s="20" t="s">
        <v>86</v>
      </c>
    </row>
    <row r="269" spans="1:8" x14ac:dyDescent="0.25">
      <c r="A269" s="58">
        <v>17088</v>
      </c>
      <c r="B269" s="58" t="s">
        <v>488</v>
      </c>
      <c r="C269" s="61">
        <v>1989</v>
      </c>
      <c r="D269" s="63">
        <v>567</v>
      </c>
      <c r="E269" s="61">
        <v>23349</v>
      </c>
      <c r="F269" s="61">
        <v>147101</v>
      </c>
      <c r="G269" s="20">
        <f t="shared" si="4"/>
        <v>259.43738977072309</v>
      </c>
      <c r="H269" s="20" t="s">
        <v>479</v>
      </c>
    </row>
    <row r="270" spans="1:8" x14ac:dyDescent="0.25">
      <c r="A270" s="40">
        <v>8105</v>
      </c>
      <c r="B270" s="40" t="s">
        <v>176</v>
      </c>
      <c r="C270" s="41">
        <v>1994</v>
      </c>
      <c r="D270" s="41">
        <v>8614</v>
      </c>
      <c r="E270" s="41">
        <v>338171</v>
      </c>
      <c r="F270" s="45">
        <v>2844017</v>
      </c>
      <c r="G270" s="20">
        <f t="shared" si="4"/>
        <v>330.16217785001163</v>
      </c>
      <c r="H270" s="20" t="s">
        <v>86</v>
      </c>
    </row>
    <row r="271" spans="1:8" x14ac:dyDescent="0.25">
      <c r="A271" s="56">
        <v>17089</v>
      </c>
      <c r="B271" s="56" t="s">
        <v>489</v>
      </c>
      <c r="C271" s="59">
        <v>2007</v>
      </c>
      <c r="D271" s="59">
        <v>6248</v>
      </c>
      <c r="E271" s="59">
        <v>352676</v>
      </c>
      <c r="F271" s="59">
        <v>2129721</v>
      </c>
      <c r="G271" s="20">
        <f t="shared" si="4"/>
        <v>340.86443661971833</v>
      </c>
      <c r="H271" s="20" t="s">
        <v>479</v>
      </c>
    </row>
    <row r="272" spans="1:8" x14ac:dyDescent="0.25">
      <c r="A272" s="58">
        <v>17090</v>
      </c>
      <c r="B272" s="58" t="s">
        <v>490</v>
      </c>
      <c r="C272" s="61">
        <v>1990</v>
      </c>
      <c r="D272" s="63">
        <v>368</v>
      </c>
      <c r="E272" s="61">
        <v>30735</v>
      </c>
      <c r="F272" s="61">
        <v>218221</v>
      </c>
      <c r="G272" s="20">
        <f t="shared" si="4"/>
        <v>592.991847826087</v>
      </c>
      <c r="H272" s="20" t="s">
        <v>479</v>
      </c>
    </row>
    <row r="273" spans="1:8" x14ac:dyDescent="0.25">
      <c r="A273" s="56">
        <v>17091</v>
      </c>
      <c r="B273" s="56" t="s">
        <v>491</v>
      </c>
      <c r="C273" s="59">
        <v>1989</v>
      </c>
      <c r="D273" s="59">
        <v>1134</v>
      </c>
      <c r="E273" s="59">
        <v>44839</v>
      </c>
      <c r="F273" s="59">
        <v>291452</v>
      </c>
      <c r="G273" s="20">
        <f t="shared" si="4"/>
        <v>257.01234567901236</v>
      </c>
      <c r="H273" s="20" t="s">
        <v>479</v>
      </c>
    </row>
    <row r="274" spans="1:8" x14ac:dyDescent="0.25">
      <c r="A274" s="58">
        <v>17092</v>
      </c>
      <c r="B274" s="58" t="s">
        <v>492</v>
      </c>
      <c r="C274" s="61">
        <v>2006</v>
      </c>
      <c r="D274" s="61">
        <v>12315</v>
      </c>
      <c r="E274" s="61">
        <v>648545</v>
      </c>
      <c r="F274" s="61">
        <v>4118262</v>
      </c>
      <c r="G274" s="20">
        <f t="shared" si="4"/>
        <v>334.41023142509135</v>
      </c>
      <c r="H274" s="20" t="s">
        <v>479</v>
      </c>
    </row>
    <row r="275" spans="1:8" x14ac:dyDescent="0.25">
      <c r="A275" s="56">
        <v>17093</v>
      </c>
      <c r="B275" s="56" t="s">
        <v>493</v>
      </c>
      <c r="C275" s="59">
        <v>1989</v>
      </c>
      <c r="D275" s="62">
        <v>923</v>
      </c>
      <c r="E275" s="59">
        <v>79952</v>
      </c>
      <c r="F275" s="59">
        <v>402158</v>
      </c>
      <c r="G275" s="20">
        <f t="shared" si="4"/>
        <v>435.70747562296856</v>
      </c>
      <c r="H275" s="20" t="s">
        <v>479</v>
      </c>
    </row>
    <row r="276" spans="1:8" x14ac:dyDescent="0.25">
      <c r="A276" s="40">
        <v>8107</v>
      </c>
      <c r="B276" s="40" t="s">
        <v>177</v>
      </c>
      <c r="C276" s="41">
        <v>2009</v>
      </c>
      <c r="D276" s="41">
        <v>7906</v>
      </c>
      <c r="E276" s="41">
        <v>643756</v>
      </c>
      <c r="F276" s="45">
        <v>5028027</v>
      </c>
      <c r="G276" s="20">
        <f t="shared" si="4"/>
        <v>635.9760941057425</v>
      </c>
      <c r="H276" s="20" t="s">
        <v>86</v>
      </c>
    </row>
    <row r="277" spans="1:8" x14ac:dyDescent="0.25">
      <c r="A277" s="40">
        <v>8108</v>
      </c>
      <c r="B277" s="40" t="s">
        <v>178</v>
      </c>
      <c r="C277" s="41">
        <v>2002</v>
      </c>
      <c r="D277" s="41">
        <v>3628</v>
      </c>
      <c r="E277" s="41">
        <v>513298</v>
      </c>
      <c r="F277" s="45">
        <v>3865942</v>
      </c>
      <c r="G277" s="20">
        <f t="shared" si="4"/>
        <v>1065.5848952590959</v>
      </c>
      <c r="H277" s="20" t="s">
        <v>86</v>
      </c>
    </row>
    <row r="278" spans="1:8" x14ac:dyDescent="0.25">
      <c r="A278" s="40">
        <v>8106</v>
      </c>
      <c r="B278" s="40" t="s">
        <v>179</v>
      </c>
      <c r="C278" s="41">
        <v>2005</v>
      </c>
      <c r="D278" s="41">
        <v>6499</v>
      </c>
      <c r="E278" s="41">
        <v>622239</v>
      </c>
      <c r="F278" s="45">
        <v>3982332</v>
      </c>
      <c r="G278" s="20">
        <f t="shared" si="4"/>
        <v>612.76073242037239</v>
      </c>
      <c r="H278" s="20" t="s">
        <v>86</v>
      </c>
    </row>
    <row r="279" spans="1:8" x14ac:dyDescent="0.25">
      <c r="A279" s="58">
        <v>17094</v>
      </c>
      <c r="B279" s="58" t="s">
        <v>494</v>
      </c>
      <c r="C279" s="61">
        <v>2008</v>
      </c>
      <c r="D279" s="61">
        <v>3166</v>
      </c>
      <c r="E279" s="61">
        <v>205179</v>
      </c>
      <c r="F279" s="61">
        <v>1062828</v>
      </c>
      <c r="G279" s="20">
        <f t="shared" si="4"/>
        <v>335.70056854074539</v>
      </c>
      <c r="H279" s="20" t="s">
        <v>479</v>
      </c>
    </row>
    <row r="280" spans="1:8" x14ac:dyDescent="0.25">
      <c r="A280" s="69">
        <v>43072</v>
      </c>
      <c r="B280" s="69" t="s">
        <v>700</v>
      </c>
      <c r="C280" s="73">
        <v>1990</v>
      </c>
      <c r="D280" s="118">
        <v>176</v>
      </c>
      <c r="E280" s="118">
        <v>5421</v>
      </c>
      <c r="F280" s="119">
        <v>27106.79</v>
      </c>
      <c r="G280" s="20">
        <f t="shared" si="4"/>
        <v>154.01585227272727</v>
      </c>
      <c r="H280" s="20" t="s">
        <v>778</v>
      </c>
    </row>
    <row r="281" spans="1:8" x14ac:dyDescent="0.25">
      <c r="A281" s="71">
        <v>43073</v>
      </c>
      <c r="B281" s="71" t="s">
        <v>701</v>
      </c>
      <c r="C281" s="75">
        <v>1990</v>
      </c>
      <c r="D281" s="118">
        <v>209</v>
      </c>
      <c r="E281" s="118">
        <v>3991</v>
      </c>
      <c r="F281" s="119">
        <v>15965.9</v>
      </c>
      <c r="G281" s="20">
        <f t="shared" si="4"/>
        <v>76.391866028708137</v>
      </c>
      <c r="H281" s="20" t="s">
        <v>778</v>
      </c>
    </row>
    <row r="282" spans="1:8" x14ac:dyDescent="0.25">
      <c r="A282" s="69">
        <v>43074</v>
      </c>
      <c r="B282" s="69" t="s">
        <v>702</v>
      </c>
      <c r="C282" s="73">
        <v>1996</v>
      </c>
      <c r="D282" s="118">
        <v>1899</v>
      </c>
      <c r="E282" s="118">
        <v>102694</v>
      </c>
      <c r="F282" s="119">
        <v>680242.7</v>
      </c>
      <c r="G282" s="20">
        <f t="shared" si="4"/>
        <v>358.21100579252237</v>
      </c>
      <c r="H282" s="20" t="s">
        <v>778</v>
      </c>
    </row>
    <row r="283" spans="1:8" x14ac:dyDescent="0.25">
      <c r="A283" s="56">
        <v>17095</v>
      </c>
      <c r="B283" s="56" t="s">
        <v>495</v>
      </c>
      <c r="C283" s="59">
        <v>1989</v>
      </c>
      <c r="D283" s="59">
        <v>43584</v>
      </c>
      <c r="E283" s="59">
        <v>2537388</v>
      </c>
      <c r="F283" s="59">
        <v>17291442</v>
      </c>
      <c r="G283" s="20">
        <f t="shared" si="4"/>
        <v>396.73829845814976</v>
      </c>
      <c r="H283" s="20" t="s">
        <v>479</v>
      </c>
    </row>
    <row r="284" spans="1:8" x14ac:dyDescent="0.25">
      <c r="A284" s="58">
        <v>17096</v>
      </c>
      <c r="B284" s="58" t="s">
        <v>496</v>
      </c>
      <c r="C284" s="61">
        <v>1990</v>
      </c>
      <c r="D284" s="63">
        <v>184</v>
      </c>
      <c r="E284" s="61">
        <v>11776</v>
      </c>
      <c r="F284" s="61">
        <v>95385</v>
      </c>
      <c r="G284" s="20">
        <f t="shared" si="4"/>
        <v>518.39673913043475</v>
      </c>
      <c r="H284" s="20" t="s">
        <v>479</v>
      </c>
    </row>
    <row r="285" spans="1:8" x14ac:dyDescent="0.25">
      <c r="A285" s="40">
        <v>8109</v>
      </c>
      <c r="B285" s="40" t="s">
        <v>180</v>
      </c>
      <c r="C285" s="41">
        <v>1988</v>
      </c>
      <c r="D285" s="40">
        <v>233</v>
      </c>
      <c r="E285" s="41">
        <v>9526</v>
      </c>
      <c r="F285" s="45">
        <v>71734</v>
      </c>
      <c r="G285" s="20">
        <f t="shared" si="4"/>
        <v>307.87124463519314</v>
      </c>
      <c r="H285" s="20" t="s">
        <v>86</v>
      </c>
    </row>
    <row r="286" spans="1:8" x14ac:dyDescent="0.25">
      <c r="A286" s="56">
        <v>17102</v>
      </c>
      <c r="B286" s="56" t="s">
        <v>497</v>
      </c>
      <c r="C286" s="59">
        <v>1987</v>
      </c>
      <c r="D286" s="59">
        <v>1090</v>
      </c>
      <c r="E286" s="59">
        <v>49920</v>
      </c>
      <c r="F286" s="59">
        <v>424318</v>
      </c>
      <c r="G286" s="20">
        <f t="shared" si="4"/>
        <v>389.28256880733943</v>
      </c>
      <c r="H286" s="20" t="s">
        <v>479</v>
      </c>
    </row>
    <row r="287" spans="1:8" x14ac:dyDescent="0.25">
      <c r="A287" s="58">
        <v>17103</v>
      </c>
      <c r="B287" s="58" t="s">
        <v>498</v>
      </c>
      <c r="C287" s="61">
        <v>2004</v>
      </c>
      <c r="D287" s="61">
        <v>6516</v>
      </c>
      <c r="E287" s="61">
        <v>433392</v>
      </c>
      <c r="F287" s="61">
        <v>3011576</v>
      </c>
      <c r="G287" s="20">
        <f t="shared" si="4"/>
        <v>462.18170656844688</v>
      </c>
      <c r="H287" s="20" t="s">
        <v>479</v>
      </c>
    </row>
    <row r="288" spans="1:8" x14ac:dyDescent="0.25">
      <c r="A288" s="56">
        <v>17097</v>
      </c>
      <c r="B288" s="56" t="s">
        <v>499</v>
      </c>
      <c r="C288" s="59">
        <v>2006</v>
      </c>
      <c r="D288" s="62">
        <v>233</v>
      </c>
      <c r="E288" s="59">
        <v>23347</v>
      </c>
      <c r="F288" s="59">
        <v>151752</v>
      </c>
      <c r="G288" s="20">
        <f t="shared" si="4"/>
        <v>651.2961373390558</v>
      </c>
      <c r="H288" s="20" t="s">
        <v>479</v>
      </c>
    </row>
    <row r="289" spans="1:8" x14ac:dyDescent="0.25">
      <c r="A289" s="58">
        <v>17098</v>
      </c>
      <c r="B289" s="58" t="s">
        <v>500</v>
      </c>
      <c r="C289" s="61">
        <v>1989</v>
      </c>
      <c r="D289" s="63">
        <v>481</v>
      </c>
      <c r="E289" s="61">
        <v>17163</v>
      </c>
      <c r="F289" s="61">
        <v>111561</v>
      </c>
      <c r="G289" s="20">
        <f t="shared" si="4"/>
        <v>231.93555093555094</v>
      </c>
      <c r="H289" s="20" t="s">
        <v>479</v>
      </c>
    </row>
    <row r="290" spans="1:8" x14ac:dyDescent="0.25">
      <c r="A290" s="40">
        <v>8110</v>
      </c>
      <c r="B290" s="40" t="s">
        <v>181</v>
      </c>
      <c r="C290" s="41">
        <v>2001</v>
      </c>
      <c r="D290" s="41">
        <v>15794</v>
      </c>
      <c r="E290" s="41">
        <v>850814</v>
      </c>
      <c r="F290" s="45">
        <v>6500297</v>
      </c>
      <c r="G290" s="20">
        <f t="shared" si="4"/>
        <v>411.56749398505764</v>
      </c>
      <c r="H290" s="20" t="s">
        <v>86</v>
      </c>
    </row>
    <row r="291" spans="1:8" x14ac:dyDescent="0.25">
      <c r="A291" s="40">
        <v>8111</v>
      </c>
      <c r="B291" s="40" t="s">
        <v>182</v>
      </c>
      <c r="C291" s="41">
        <v>2005</v>
      </c>
      <c r="D291" s="40">
        <v>127</v>
      </c>
      <c r="E291" s="41">
        <v>19851</v>
      </c>
      <c r="F291" s="45">
        <v>90125</v>
      </c>
      <c r="G291" s="20">
        <f t="shared" si="4"/>
        <v>709.64566929133855</v>
      </c>
      <c r="H291" s="20" t="s">
        <v>86</v>
      </c>
    </row>
    <row r="292" spans="1:8" x14ac:dyDescent="0.25">
      <c r="A292" s="40">
        <v>8112</v>
      </c>
      <c r="B292" s="40" t="s">
        <v>183</v>
      </c>
      <c r="C292" s="41">
        <v>2004</v>
      </c>
      <c r="D292" s="41">
        <v>13748</v>
      </c>
      <c r="E292" s="41">
        <v>828627</v>
      </c>
      <c r="F292" s="45">
        <v>5962125</v>
      </c>
      <c r="G292" s="20">
        <f t="shared" si="4"/>
        <v>433.67217049752691</v>
      </c>
      <c r="H292" s="20" t="s">
        <v>86</v>
      </c>
    </row>
    <row r="293" spans="1:8" x14ac:dyDescent="0.25">
      <c r="A293" s="40">
        <v>8113</v>
      </c>
      <c r="B293" s="40" t="s">
        <v>184</v>
      </c>
      <c r="C293" s="41">
        <v>2008</v>
      </c>
      <c r="D293" s="41">
        <v>60637</v>
      </c>
      <c r="E293" s="41">
        <v>2775649</v>
      </c>
      <c r="F293" s="45">
        <v>25083134</v>
      </c>
      <c r="G293" s="20">
        <f t="shared" si="4"/>
        <v>413.66053729571053</v>
      </c>
      <c r="H293" s="20" t="s">
        <v>86</v>
      </c>
    </row>
    <row r="294" spans="1:8" x14ac:dyDescent="0.25">
      <c r="A294" s="71">
        <v>43076</v>
      </c>
      <c r="B294" s="71" t="s">
        <v>703</v>
      </c>
      <c r="C294" s="75">
        <v>1990</v>
      </c>
      <c r="D294" s="118">
        <v>616</v>
      </c>
      <c r="E294" s="118">
        <v>12961</v>
      </c>
      <c r="F294" s="119">
        <v>77764.509999999995</v>
      </c>
      <c r="G294" s="20">
        <f t="shared" si="4"/>
        <v>126.24108766233765</v>
      </c>
      <c r="H294" s="20" t="s">
        <v>778</v>
      </c>
    </row>
    <row r="295" spans="1:8" x14ac:dyDescent="0.25">
      <c r="A295" s="69">
        <v>43075</v>
      </c>
      <c r="B295" s="69" t="s">
        <v>704</v>
      </c>
      <c r="C295" s="73">
        <v>1990</v>
      </c>
      <c r="D295" s="118">
        <v>198</v>
      </c>
      <c r="E295" s="118">
        <v>4078</v>
      </c>
      <c r="F295" s="119">
        <v>30995.03</v>
      </c>
      <c r="G295" s="20">
        <f t="shared" si="4"/>
        <v>156.54055555555556</v>
      </c>
      <c r="H295" s="20" t="s">
        <v>778</v>
      </c>
    </row>
    <row r="296" spans="1:8" x14ac:dyDescent="0.25">
      <c r="A296" s="40">
        <v>8242</v>
      </c>
      <c r="B296" s="40" t="s">
        <v>185</v>
      </c>
      <c r="C296" s="41">
        <v>2005</v>
      </c>
      <c r="D296" s="40">
        <v>231</v>
      </c>
      <c r="E296" s="41">
        <v>9571</v>
      </c>
      <c r="F296" s="45">
        <v>63453</v>
      </c>
      <c r="G296" s="20">
        <f t="shared" si="4"/>
        <v>274.68831168831167</v>
      </c>
      <c r="H296" s="20" t="s">
        <v>86</v>
      </c>
    </row>
    <row r="297" spans="1:8" x14ac:dyDescent="0.25">
      <c r="A297" s="40">
        <v>8114</v>
      </c>
      <c r="B297" s="40" t="s">
        <v>186</v>
      </c>
      <c r="C297" s="41">
        <v>1987</v>
      </c>
      <c r="D297" s="41">
        <v>16963</v>
      </c>
      <c r="E297" s="41">
        <v>1348575</v>
      </c>
      <c r="F297" s="45">
        <v>9939001</v>
      </c>
      <c r="G297" s="20">
        <f t="shared" si="4"/>
        <v>585.92236043152741</v>
      </c>
      <c r="H297" s="20" t="s">
        <v>86</v>
      </c>
    </row>
    <row r="298" spans="1:8" x14ac:dyDescent="0.25">
      <c r="A298" s="40">
        <v>8115</v>
      </c>
      <c r="B298" s="40" t="s">
        <v>187</v>
      </c>
      <c r="C298" s="41">
        <v>1999</v>
      </c>
      <c r="D298" s="41">
        <v>2642</v>
      </c>
      <c r="E298" s="41">
        <v>299393</v>
      </c>
      <c r="F298" s="45">
        <v>2380177</v>
      </c>
      <c r="G298" s="20">
        <f t="shared" si="4"/>
        <v>900.89969719909163</v>
      </c>
      <c r="H298" s="20" t="s">
        <v>86</v>
      </c>
    </row>
    <row r="299" spans="1:8" x14ac:dyDescent="0.25">
      <c r="A299" s="71">
        <v>43077</v>
      </c>
      <c r="B299" s="71" t="s">
        <v>705</v>
      </c>
      <c r="C299" s="75">
        <v>1986</v>
      </c>
      <c r="D299" s="118">
        <v>590</v>
      </c>
      <c r="E299" s="118">
        <v>12153</v>
      </c>
      <c r="F299" s="119">
        <v>113629.73</v>
      </c>
      <c r="G299" s="20">
        <f t="shared" si="4"/>
        <v>192.5927627118644</v>
      </c>
      <c r="H299" s="20" t="s">
        <v>778</v>
      </c>
    </row>
    <row r="300" spans="1:8" x14ac:dyDescent="0.25">
      <c r="A300" s="56">
        <v>17100</v>
      </c>
      <c r="B300" s="56" t="s">
        <v>501</v>
      </c>
      <c r="C300" s="59">
        <v>1989</v>
      </c>
      <c r="D300" s="62">
        <v>216</v>
      </c>
      <c r="E300" s="59">
        <v>9248</v>
      </c>
      <c r="F300" s="59">
        <v>55488</v>
      </c>
      <c r="G300" s="20">
        <f t="shared" si="4"/>
        <v>256.88888888888891</v>
      </c>
      <c r="H300" s="20" t="s">
        <v>479</v>
      </c>
    </row>
    <row r="301" spans="1:8" x14ac:dyDescent="0.25">
      <c r="A301" s="69">
        <v>43078</v>
      </c>
      <c r="B301" s="69" t="s">
        <v>706</v>
      </c>
      <c r="C301" s="73">
        <v>1986</v>
      </c>
      <c r="D301" s="118">
        <v>1133</v>
      </c>
      <c r="E301" s="118">
        <v>31847</v>
      </c>
      <c r="F301" s="119">
        <v>261145.64</v>
      </c>
      <c r="G301" s="20">
        <f t="shared" si="4"/>
        <v>230.49041482789056</v>
      </c>
      <c r="H301" s="20" t="s">
        <v>778</v>
      </c>
    </row>
    <row r="302" spans="1:8" x14ac:dyDescent="0.25">
      <c r="A302" s="40">
        <v>8116</v>
      </c>
      <c r="B302" s="40" t="s">
        <v>188</v>
      </c>
      <c r="C302" s="41">
        <v>2013</v>
      </c>
      <c r="D302" s="40">
        <v>300</v>
      </c>
      <c r="E302" s="41">
        <v>25378</v>
      </c>
      <c r="F302" s="45">
        <v>166894</v>
      </c>
      <c r="G302" s="20">
        <f t="shared" si="4"/>
        <v>556.31333333333339</v>
      </c>
      <c r="H302" s="20" t="s">
        <v>86</v>
      </c>
    </row>
    <row r="303" spans="1:8" x14ac:dyDescent="0.25">
      <c r="A303" s="40">
        <v>8117</v>
      </c>
      <c r="B303" s="40" t="s">
        <v>189</v>
      </c>
      <c r="C303" s="41">
        <v>1986</v>
      </c>
      <c r="D303" s="41">
        <v>2039</v>
      </c>
      <c r="E303" s="41">
        <v>117199</v>
      </c>
      <c r="F303" s="45">
        <v>789924</v>
      </c>
      <c r="G303" s="20">
        <f t="shared" si="4"/>
        <v>387.40755272192251</v>
      </c>
      <c r="H303" s="20" t="s">
        <v>86</v>
      </c>
    </row>
    <row r="304" spans="1:8" x14ac:dyDescent="0.25">
      <c r="A304" s="71">
        <v>43079</v>
      </c>
      <c r="B304" s="71" t="s">
        <v>707</v>
      </c>
      <c r="C304" s="75">
        <v>2008</v>
      </c>
      <c r="D304" s="118">
        <v>551</v>
      </c>
      <c r="E304" s="118">
        <v>26595</v>
      </c>
      <c r="F304" s="119">
        <v>215149.63</v>
      </c>
      <c r="G304" s="20">
        <f t="shared" si="4"/>
        <v>390.47119782214156</v>
      </c>
      <c r="H304" s="20" t="s">
        <v>778</v>
      </c>
    </row>
    <row r="305" spans="1:8" x14ac:dyDescent="0.25">
      <c r="A305" s="40">
        <v>8118</v>
      </c>
      <c r="B305" s="40" t="s">
        <v>190</v>
      </c>
      <c r="C305" s="41">
        <v>2002</v>
      </c>
      <c r="D305" s="41">
        <v>14905</v>
      </c>
      <c r="E305" s="41">
        <v>1124442</v>
      </c>
      <c r="F305" s="45">
        <v>8433314</v>
      </c>
      <c r="G305" s="20">
        <f t="shared" si="4"/>
        <v>565.80436095270045</v>
      </c>
      <c r="H305" s="20" t="s">
        <v>86</v>
      </c>
    </row>
    <row r="306" spans="1:8" x14ac:dyDescent="0.25">
      <c r="A306" s="69">
        <v>43080</v>
      </c>
      <c r="B306" s="69" t="s">
        <v>708</v>
      </c>
      <c r="C306" s="73">
        <v>1990</v>
      </c>
      <c r="D306" s="118">
        <v>247</v>
      </c>
      <c r="E306" s="118">
        <v>8633</v>
      </c>
      <c r="F306" s="119">
        <v>56112.9</v>
      </c>
      <c r="G306" s="20">
        <f t="shared" si="4"/>
        <v>227.17773279352227</v>
      </c>
      <c r="H306" s="20" t="s">
        <v>778</v>
      </c>
    </row>
    <row r="307" spans="1:8" x14ac:dyDescent="0.25">
      <c r="A307" s="71">
        <v>43081</v>
      </c>
      <c r="B307" s="71" t="s">
        <v>709</v>
      </c>
      <c r="C307" s="75">
        <v>1989</v>
      </c>
      <c r="D307" s="118">
        <v>577</v>
      </c>
      <c r="E307" s="118">
        <v>15316</v>
      </c>
      <c r="F307" s="119">
        <v>114872.3</v>
      </c>
      <c r="G307" s="20">
        <f t="shared" si="4"/>
        <v>199.08544194107452</v>
      </c>
      <c r="H307" s="20" t="s">
        <v>778</v>
      </c>
    </row>
    <row r="308" spans="1:8" x14ac:dyDescent="0.25">
      <c r="A308" s="40">
        <v>8119</v>
      </c>
      <c r="B308" s="40" t="s">
        <v>191</v>
      </c>
      <c r="C308" s="41">
        <v>2002</v>
      </c>
      <c r="D308" s="41">
        <v>5605</v>
      </c>
      <c r="E308" s="41">
        <v>451863</v>
      </c>
      <c r="F308" s="45">
        <v>3093058</v>
      </c>
      <c r="G308" s="20">
        <f t="shared" si="4"/>
        <v>551.83907225691348</v>
      </c>
      <c r="H308" s="20" t="s">
        <v>86</v>
      </c>
    </row>
    <row r="309" spans="1:8" x14ac:dyDescent="0.25">
      <c r="A309" s="69">
        <v>43082</v>
      </c>
      <c r="B309" s="69" t="s">
        <v>710</v>
      </c>
      <c r="C309" s="73">
        <v>1990</v>
      </c>
      <c r="D309" s="118">
        <v>445</v>
      </c>
      <c r="E309" s="118">
        <v>11262</v>
      </c>
      <c r="F309" s="119">
        <v>78835.44</v>
      </c>
      <c r="G309" s="20">
        <f t="shared" si="4"/>
        <v>177.15829213483147</v>
      </c>
      <c r="H309" s="20" t="s">
        <v>778</v>
      </c>
    </row>
    <row r="310" spans="1:8" x14ac:dyDescent="0.25">
      <c r="A310" s="58">
        <v>17101</v>
      </c>
      <c r="B310" s="58" t="s">
        <v>502</v>
      </c>
      <c r="C310" s="61">
        <v>1990</v>
      </c>
      <c r="D310" s="63">
        <v>911</v>
      </c>
      <c r="E310" s="61">
        <v>55658</v>
      </c>
      <c r="F310" s="61">
        <v>610564</v>
      </c>
      <c r="G310" s="20">
        <f t="shared" si="4"/>
        <v>670.21295279912181</v>
      </c>
      <c r="H310" s="20" t="s">
        <v>479</v>
      </c>
    </row>
    <row r="311" spans="1:8" x14ac:dyDescent="0.25">
      <c r="A311" s="40">
        <v>8120</v>
      </c>
      <c r="B311" s="40" t="s">
        <v>192</v>
      </c>
      <c r="C311" s="41">
        <v>2005</v>
      </c>
      <c r="D311" s="41">
        <v>4527</v>
      </c>
      <c r="E311" s="41">
        <v>908263</v>
      </c>
      <c r="F311" s="45">
        <v>4359663</v>
      </c>
      <c r="G311" s="20">
        <f t="shared" si="4"/>
        <v>963.0357852882704</v>
      </c>
      <c r="H311" s="20" t="s">
        <v>86</v>
      </c>
    </row>
    <row r="312" spans="1:8" x14ac:dyDescent="0.25">
      <c r="A312" s="40">
        <v>8121</v>
      </c>
      <c r="B312" s="40" t="s">
        <v>193</v>
      </c>
      <c r="C312" s="41">
        <v>2013</v>
      </c>
      <c r="D312" s="41">
        <v>89606</v>
      </c>
      <c r="E312" s="41">
        <v>5909444</v>
      </c>
      <c r="F312" s="45">
        <v>33254123</v>
      </c>
      <c r="G312" s="20">
        <f t="shared" si="4"/>
        <v>371.11491417985405</v>
      </c>
      <c r="H312" s="20" t="s">
        <v>86</v>
      </c>
    </row>
    <row r="313" spans="1:8" x14ac:dyDescent="0.25">
      <c r="A313" s="57">
        <v>8122</v>
      </c>
      <c r="B313" s="57" t="s">
        <v>194</v>
      </c>
      <c r="C313" s="60">
        <v>1996</v>
      </c>
      <c r="D313" s="60">
        <v>2688</v>
      </c>
      <c r="E313" s="60">
        <v>104895</v>
      </c>
      <c r="F313" s="64">
        <v>1038462</v>
      </c>
      <c r="G313" s="20">
        <f t="shared" si="4"/>
        <v>386.33258928571428</v>
      </c>
      <c r="H313" s="20" t="s">
        <v>86</v>
      </c>
    </row>
    <row r="314" spans="1:8" x14ac:dyDescent="0.25">
      <c r="A314" s="70">
        <v>17099</v>
      </c>
      <c r="B314" s="70" t="s">
        <v>503</v>
      </c>
      <c r="C314" s="74">
        <v>1989</v>
      </c>
      <c r="D314" s="77">
        <v>162</v>
      </c>
      <c r="E314" s="74">
        <v>5010</v>
      </c>
      <c r="F314" s="74">
        <v>20040</v>
      </c>
      <c r="G314" s="20">
        <f t="shared" si="4"/>
        <v>123.70370370370371</v>
      </c>
      <c r="H314" s="20" t="s">
        <v>479</v>
      </c>
    </row>
    <row r="315" spans="1:8" x14ac:dyDescent="0.25">
      <c r="A315" s="72">
        <v>17105</v>
      </c>
      <c r="B315" s="72" t="s">
        <v>504</v>
      </c>
      <c r="C315" s="76">
        <v>2010</v>
      </c>
      <c r="D315" s="78">
        <v>208</v>
      </c>
      <c r="E315" s="76">
        <v>19939</v>
      </c>
      <c r="F315" s="76">
        <v>73134</v>
      </c>
      <c r="G315" s="20">
        <f t="shared" si="4"/>
        <v>351.60576923076923</v>
      </c>
      <c r="H315" s="20" t="s">
        <v>479</v>
      </c>
    </row>
    <row r="316" spans="1:8" x14ac:dyDescent="0.25">
      <c r="A316" s="67">
        <v>43083</v>
      </c>
      <c r="B316" s="67" t="s">
        <v>711</v>
      </c>
      <c r="C316" s="68">
        <v>1990</v>
      </c>
      <c r="D316" s="114">
        <v>176</v>
      </c>
      <c r="E316" s="114">
        <v>3809</v>
      </c>
      <c r="F316" s="115">
        <v>22854.52</v>
      </c>
      <c r="G316" s="20">
        <f t="shared" si="4"/>
        <v>129.85522727272726</v>
      </c>
      <c r="H316" s="20" t="s">
        <v>778</v>
      </c>
    </row>
    <row r="317" spans="1:8" x14ac:dyDescent="0.25">
      <c r="A317" s="65">
        <v>43084</v>
      </c>
      <c r="B317" s="65" t="s">
        <v>712</v>
      </c>
      <c r="C317" s="66">
        <v>1988</v>
      </c>
      <c r="D317" s="114">
        <v>660</v>
      </c>
      <c r="E317" s="114">
        <v>17819</v>
      </c>
      <c r="F317" s="115">
        <v>112257.21</v>
      </c>
      <c r="G317" s="20">
        <f t="shared" si="4"/>
        <v>170.08668181818183</v>
      </c>
      <c r="H317" s="20" t="s">
        <v>778</v>
      </c>
    </row>
    <row r="318" spans="1:8" x14ac:dyDescent="0.25">
      <c r="A318" s="57">
        <v>8138</v>
      </c>
      <c r="B318" s="57" t="s">
        <v>195</v>
      </c>
      <c r="C318" s="60">
        <v>2008</v>
      </c>
      <c r="D318" s="60">
        <v>5125</v>
      </c>
      <c r="E318" s="60">
        <v>254836</v>
      </c>
      <c r="F318" s="64">
        <v>2561098</v>
      </c>
      <c r="G318" s="20">
        <f t="shared" si="4"/>
        <v>499.72643902439023</v>
      </c>
      <c r="H318" s="20" t="s">
        <v>86</v>
      </c>
    </row>
    <row r="319" spans="1:8" x14ac:dyDescent="0.25">
      <c r="A319" s="67">
        <v>43085</v>
      </c>
      <c r="B319" s="67" t="s">
        <v>713</v>
      </c>
      <c r="C319" s="68">
        <v>1990</v>
      </c>
      <c r="D319" s="114">
        <v>301</v>
      </c>
      <c r="E319" s="114">
        <v>9976</v>
      </c>
      <c r="F319" s="115">
        <v>53871.040000000001</v>
      </c>
      <c r="G319" s="20">
        <f t="shared" si="4"/>
        <v>178.97355481727575</v>
      </c>
      <c r="H319" s="20" t="s">
        <v>778</v>
      </c>
    </row>
    <row r="320" spans="1:8" x14ac:dyDescent="0.25">
      <c r="A320" s="57">
        <v>8123</v>
      </c>
      <c r="B320" s="57" t="s">
        <v>196</v>
      </c>
      <c r="C320" s="60">
        <v>2006</v>
      </c>
      <c r="D320" s="60">
        <v>18028</v>
      </c>
      <c r="E320" s="60">
        <v>1526639</v>
      </c>
      <c r="F320" s="64">
        <v>8573805</v>
      </c>
      <c r="G320" s="20">
        <f t="shared" si="4"/>
        <v>475.5827046816064</v>
      </c>
      <c r="H320" s="20" t="s">
        <v>86</v>
      </c>
    </row>
    <row r="321" spans="1:8" x14ac:dyDescent="0.25">
      <c r="A321" s="70">
        <v>17106</v>
      </c>
      <c r="B321" s="70" t="s">
        <v>505</v>
      </c>
      <c r="C321" s="74">
        <v>1989</v>
      </c>
      <c r="D321" s="77">
        <v>175</v>
      </c>
      <c r="E321" s="74">
        <v>6970</v>
      </c>
      <c r="F321" s="74">
        <v>69704</v>
      </c>
      <c r="G321" s="20">
        <f t="shared" si="4"/>
        <v>398.30857142857144</v>
      </c>
      <c r="H321" s="20" t="s">
        <v>479</v>
      </c>
    </row>
    <row r="322" spans="1:8" x14ac:dyDescent="0.25">
      <c r="A322" s="57">
        <v>8124</v>
      </c>
      <c r="B322" s="57" t="s">
        <v>197</v>
      </c>
      <c r="C322" s="60">
        <v>1996</v>
      </c>
      <c r="D322" s="60">
        <v>33955</v>
      </c>
      <c r="E322" s="60">
        <v>1558746</v>
      </c>
      <c r="F322" s="64">
        <v>12358660</v>
      </c>
      <c r="G322" s="20">
        <f t="shared" ref="G322:G385" si="5">F322/D322</f>
        <v>363.97172728611395</v>
      </c>
      <c r="H322" s="20" t="s">
        <v>86</v>
      </c>
    </row>
    <row r="323" spans="1:8" x14ac:dyDescent="0.25">
      <c r="A323" s="72">
        <v>17107</v>
      </c>
      <c r="B323" s="72" t="s">
        <v>506</v>
      </c>
      <c r="C323" s="76">
        <v>1989</v>
      </c>
      <c r="D323" s="78">
        <v>721</v>
      </c>
      <c r="E323" s="76">
        <v>25451</v>
      </c>
      <c r="F323" s="76">
        <v>208694</v>
      </c>
      <c r="G323" s="20">
        <f t="shared" si="5"/>
        <v>289.45076282940363</v>
      </c>
      <c r="H323" s="20" t="s">
        <v>479</v>
      </c>
    </row>
    <row r="324" spans="1:8" x14ac:dyDescent="0.25">
      <c r="A324" s="57">
        <v>8128</v>
      </c>
      <c r="B324" s="57" t="s">
        <v>198</v>
      </c>
      <c r="C324" s="60">
        <v>2005</v>
      </c>
      <c r="D324" s="60">
        <v>1159</v>
      </c>
      <c r="E324" s="60">
        <v>39433</v>
      </c>
      <c r="F324" s="64">
        <v>259073</v>
      </c>
      <c r="G324" s="20">
        <f t="shared" si="5"/>
        <v>223.53149266609145</v>
      </c>
      <c r="H324" s="20" t="s">
        <v>86</v>
      </c>
    </row>
    <row r="325" spans="1:8" x14ac:dyDescent="0.25">
      <c r="A325" s="57">
        <v>8127</v>
      </c>
      <c r="B325" s="57" t="s">
        <v>199</v>
      </c>
      <c r="C325" s="60">
        <v>2005</v>
      </c>
      <c r="D325" s="60">
        <v>2038</v>
      </c>
      <c r="E325" s="60">
        <v>152665</v>
      </c>
      <c r="F325" s="64">
        <v>763327</v>
      </c>
      <c r="G325" s="20">
        <f t="shared" si="5"/>
        <v>374.54710500490677</v>
      </c>
      <c r="H325" s="20" t="s">
        <v>86</v>
      </c>
    </row>
    <row r="326" spans="1:8" x14ac:dyDescent="0.25">
      <c r="A326" s="70">
        <v>17109</v>
      </c>
      <c r="B326" s="70" t="s">
        <v>507</v>
      </c>
      <c r="C326" s="74">
        <v>1987</v>
      </c>
      <c r="D326" s="77">
        <v>706</v>
      </c>
      <c r="E326" s="74">
        <v>38269</v>
      </c>
      <c r="F326" s="74">
        <v>214307</v>
      </c>
      <c r="G326" s="20">
        <f t="shared" si="5"/>
        <v>303.55099150141643</v>
      </c>
      <c r="H326" s="20" t="s">
        <v>479</v>
      </c>
    </row>
    <row r="327" spans="1:8" x14ac:dyDescent="0.25">
      <c r="A327" s="65">
        <v>43086</v>
      </c>
      <c r="B327" s="65" t="s">
        <v>714</v>
      </c>
      <c r="C327" s="66">
        <v>2000</v>
      </c>
      <c r="D327" s="114">
        <v>6079</v>
      </c>
      <c r="E327" s="114">
        <v>293896</v>
      </c>
      <c r="F327" s="115">
        <v>2498116.2000000002</v>
      </c>
      <c r="G327" s="20">
        <f t="shared" si="5"/>
        <v>410.94196413883867</v>
      </c>
      <c r="H327" s="20" t="s">
        <v>778</v>
      </c>
    </row>
    <row r="328" spans="1:8" x14ac:dyDescent="0.25">
      <c r="A328" s="67">
        <v>43088</v>
      </c>
      <c r="B328" s="67" t="s">
        <v>715</v>
      </c>
      <c r="C328" s="68">
        <v>1989</v>
      </c>
      <c r="D328" s="114">
        <v>2759</v>
      </c>
      <c r="E328" s="114">
        <v>87275</v>
      </c>
      <c r="F328" s="115">
        <v>497468.33</v>
      </c>
      <c r="G328" s="20">
        <f t="shared" si="5"/>
        <v>180.3074773468648</v>
      </c>
      <c r="H328" s="20" t="s">
        <v>778</v>
      </c>
    </row>
    <row r="329" spans="1:8" x14ac:dyDescent="0.25">
      <c r="A329" s="57">
        <v>8125</v>
      </c>
      <c r="B329" s="57" t="s">
        <v>200</v>
      </c>
      <c r="C329" s="60">
        <v>2006</v>
      </c>
      <c r="D329" s="60">
        <v>23351</v>
      </c>
      <c r="E329" s="60">
        <v>1731289</v>
      </c>
      <c r="F329" s="64">
        <v>11614415</v>
      </c>
      <c r="G329" s="20">
        <f t="shared" si="5"/>
        <v>497.38405207485761</v>
      </c>
      <c r="H329" s="20" t="s">
        <v>86</v>
      </c>
    </row>
    <row r="330" spans="1:8" x14ac:dyDescent="0.25">
      <c r="A330" s="57">
        <v>8130</v>
      </c>
      <c r="B330" s="57" t="s">
        <v>201</v>
      </c>
      <c r="C330" s="60">
        <v>1989</v>
      </c>
      <c r="D330" s="57">
        <v>109</v>
      </c>
      <c r="E330" s="60">
        <v>2574</v>
      </c>
      <c r="F330" s="64">
        <v>14416</v>
      </c>
      <c r="G330" s="20">
        <f t="shared" si="5"/>
        <v>132.25688073394497</v>
      </c>
      <c r="H330" s="20" t="s">
        <v>86</v>
      </c>
    </row>
    <row r="331" spans="1:8" x14ac:dyDescent="0.25">
      <c r="A331" s="57">
        <v>8131</v>
      </c>
      <c r="B331" s="57" t="s">
        <v>202</v>
      </c>
      <c r="C331" s="60">
        <v>1985</v>
      </c>
      <c r="D331" s="57">
        <v>926</v>
      </c>
      <c r="E331" s="60">
        <v>22298</v>
      </c>
      <c r="F331" s="64">
        <v>180611</v>
      </c>
      <c r="G331" s="20">
        <f t="shared" si="5"/>
        <v>195.04427645788337</v>
      </c>
      <c r="H331" s="20" t="s">
        <v>86</v>
      </c>
    </row>
    <row r="332" spans="1:8" x14ac:dyDescent="0.25">
      <c r="A332" s="65">
        <v>43089</v>
      </c>
      <c r="B332" s="65" t="s">
        <v>716</v>
      </c>
      <c r="C332" s="66">
        <v>1990</v>
      </c>
      <c r="D332" s="114">
        <v>472</v>
      </c>
      <c r="E332" s="114">
        <v>12830</v>
      </c>
      <c r="F332" s="115">
        <v>76982.16</v>
      </c>
      <c r="G332" s="20">
        <f t="shared" si="5"/>
        <v>163.0977966101695</v>
      </c>
      <c r="H332" s="20" t="s">
        <v>778</v>
      </c>
    </row>
    <row r="333" spans="1:8" x14ac:dyDescent="0.25">
      <c r="A333" s="57">
        <v>8126</v>
      </c>
      <c r="B333" s="57" t="s">
        <v>203</v>
      </c>
      <c r="C333" s="60">
        <v>2006</v>
      </c>
      <c r="D333" s="60">
        <v>7416</v>
      </c>
      <c r="E333" s="60">
        <v>598890</v>
      </c>
      <c r="F333" s="64">
        <v>2395559</v>
      </c>
      <c r="G333" s="20">
        <f t="shared" si="5"/>
        <v>323.0257551240561</v>
      </c>
      <c r="H333" s="20" t="s">
        <v>86</v>
      </c>
    </row>
    <row r="334" spans="1:8" x14ac:dyDescent="0.25">
      <c r="A334" s="57">
        <v>8132</v>
      </c>
      <c r="B334" s="57" t="s">
        <v>204</v>
      </c>
      <c r="C334" s="60">
        <v>1989</v>
      </c>
      <c r="D334" s="57">
        <v>373</v>
      </c>
      <c r="E334" s="60">
        <v>14642</v>
      </c>
      <c r="F334" s="64">
        <v>73211</v>
      </c>
      <c r="G334" s="20">
        <f t="shared" si="5"/>
        <v>196.27613941018768</v>
      </c>
      <c r="H334" s="20" t="s">
        <v>86</v>
      </c>
    </row>
    <row r="335" spans="1:8" x14ac:dyDescent="0.25">
      <c r="A335" s="57">
        <v>8133</v>
      </c>
      <c r="B335" s="57" t="s">
        <v>205</v>
      </c>
      <c r="C335" s="60">
        <v>1988</v>
      </c>
      <c r="D335" s="57">
        <v>191</v>
      </c>
      <c r="E335" s="60">
        <v>11686</v>
      </c>
      <c r="F335" s="64">
        <v>61935</v>
      </c>
      <c r="G335" s="20">
        <f t="shared" si="5"/>
        <v>324.26701570680626</v>
      </c>
      <c r="H335" s="20" t="s">
        <v>86</v>
      </c>
    </row>
    <row r="336" spans="1:8" x14ac:dyDescent="0.25">
      <c r="A336" s="67">
        <v>43090</v>
      </c>
      <c r="B336" s="67" t="s">
        <v>717</v>
      </c>
      <c r="C336" s="68">
        <v>1989</v>
      </c>
      <c r="D336" s="114">
        <v>3700</v>
      </c>
      <c r="E336" s="114">
        <v>98193</v>
      </c>
      <c r="F336" s="115">
        <v>942656.25</v>
      </c>
      <c r="G336" s="20">
        <f t="shared" si="5"/>
        <v>254.77195945945945</v>
      </c>
      <c r="H336" s="20" t="s">
        <v>778</v>
      </c>
    </row>
    <row r="337" spans="1:8" x14ac:dyDescent="0.25">
      <c r="A337" s="57">
        <v>8135</v>
      </c>
      <c r="B337" s="57" t="s">
        <v>206</v>
      </c>
      <c r="C337" s="60">
        <v>2013</v>
      </c>
      <c r="D337" s="60">
        <v>5497</v>
      </c>
      <c r="E337" s="60">
        <v>429721</v>
      </c>
      <c r="F337" s="64">
        <v>3099307</v>
      </c>
      <c r="G337" s="20">
        <f t="shared" si="5"/>
        <v>563.81790067309441</v>
      </c>
      <c r="H337" s="20" t="s">
        <v>86</v>
      </c>
    </row>
    <row r="338" spans="1:8" x14ac:dyDescent="0.25">
      <c r="A338" s="57">
        <v>8136</v>
      </c>
      <c r="B338" s="57" t="s">
        <v>207</v>
      </c>
      <c r="C338" s="60">
        <v>2010</v>
      </c>
      <c r="D338" s="60">
        <v>10794</v>
      </c>
      <c r="E338" s="60">
        <v>785179</v>
      </c>
      <c r="F338" s="64">
        <v>5329204</v>
      </c>
      <c r="G338" s="20">
        <f t="shared" si="5"/>
        <v>493.71910320548454</v>
      </c>
      <c r="H338" s="20" t="s">
        <v>86</v>
      </c>
    </row>
    <row r="339" spans="1:8" x14ac:dyDescent="0.25">
      <c r="A339" s="65">
        <v>43091</v>
      </c>
      <c r="B339" s="65" t="s">
        <v>718</v>
      </c>
      <c r="C339" s="66">
        <v>1990</v>
      </c>
      <c r="D339" s="114">
        <v>367</v>
      </c>
      <c r="E339" s="114">
        <v>9313</v>
      </c>
      <c r="F339" s="115">
        <v>83818.960000000006</v>
      </c>
      <c r="G339" s="20">
        <f t="shared" si="5"/>
        <v>228.38953678474115</v>
      </c>
      <c r="H339" s="20" t="s">
        <v>778</v>
      </c>
    </row>
    <row r="340" spans="1:8" x14ac:dyDescent="0.25">
      <c r="A340" s="72">
        <v>17110</v>
      </c>
      <c r="B340" s="72" t="s">
        <v>508</v>
      </c>
      <c r="C340" s="76">
        <v>1989</v>
      </c>
      <c r="D340" s="78">
        <v>986</v>
      </c>
      <c r="E340" s="76">
        <v>77137</v>
      </c>
      <c r="F340" s="76">
        <v>595494</v>
      </c>
      <c r="G340" s="20">
        <f t="shared" si="5"/>
        <v>603.94929006085192</v>
      </c>
      <c r="H340" s="20" t="s">
        <v>479</v>
      </c>
    </row>
    <row r="341" spans="1:8" x14ac:dyDescent="0.25">
      <c r="A341" s="67">
        <v>43092</v>
      </c>
      <c r="B341" s="67" t="s">
        <v>719</v>
      </c>
      <c r="C341" s="68">
        <v>2013</v>
      </c>
      <c r="D341" s="114">
        <v>21057</v>
      </c>
      <c r="E341" s="114">
        <v>1267269</v>
      </c>
      <c r="F341" s="115">
        <v>9495442.5600000005</v>
      </c>
      <c r="G341" s="20">
        <f t="shared" si="5"/>
        <v>450.93995156005133</v>
      </c>
      <c r="H341" s="20" t="s">
        <v>778</v>
      </c>
    </row>
    <row r="342" spans="1:8" x14ac:dyDescent="0.25">
      <c r="A342" s="57">
        <v>8137</v>
      </c>
      <c r="B342" s="57" t="s">
        <v>208</v>
      </c>
      <c r="C342" s="60">
        <v>1987</v>
      </c>
      <c r="D342" s="57">
        <v>273</v>
      </c>
      <c r="E342" s="60">
        <v>15925</v>
      </c>
      <c r="F342" s="64">
        <v>122620</v>
      </c>
      <c r="G342" s="20">
        <f t="shared" si="5"/>
        <v>449.15750915750914</v>
      </c>
      <c r="H342" s="20" t="s">
        <v>86</v>
      </c>
    </row>
    <row r="343" spans="1:8" x14ac:dyDescent="0.25">
      <c r="A343" s="65">
        <v>43093</v>
      </c>
      <c r="B343" s="65" t="s">
        <v>720</v>
      </c>
      <c r="C343" s="66">
        <v>2005</v>
      </c>
      <c r="D343" s="114">
        <v>4851</v>
      </c>
      <c r="E343" s="114">
        <v>286045</v>
      </c>
      <c r="F343" s="115">
        <v>2005173.98</v>
      </c>
      <c r="G343" s="20">
        <f t="shared" si="5"/>
        <v>413.35270665842091</v>
      </c>
      <c r="H343" s="20" t="s">
        <v>778</v>
      </c>
    </row>
    <row r="344" spans="1:8" x14ac:dyDescent="0.25">
      <c r="A344" s="67">
        <v>43094</v>
      </c>
      <c r="B344" s="67" t="s">
        <v>721</v>
      </c>
      <c r="C344" s="68">
        <v>2005</v>
      </c>
      <c r="D344" s="114">
        <v>2298</v>
      </c>
      <c r="E344" s="114">
        <v>128058</v>
      </c>
      <c r="F344" s="115">
        <v>847015</v>
      </c>
      <c r="G344" s="20">
        <f t="shared" si="5"/>
        <v>368.58790252393385</v>
      </c>
      <c r="H344" s="20" t="s">
        <v>778</v>
      </c>
    </row>
    <row r="345" spans="1:8" x14ac:dyDescent="0.25">
      <c r="A345" s="65">
        <v>43095</v>
      </c>
      <c r="B345" s="65" t="s">
        <v>722</v>
      </c>
      <c r="C345" s="66">
        <v>2013</v>
      </c>
      <c r="D345" s="114">
        <v>2626</v>
      </c>
      <c r="E345" s="114">
        <v>148586</v>
      </c>
      <c r="F345" s="115">
        <v>906373.62</v>
      </c>
      <c r="G345" s="20">
        <f t="shared" si="5"/>
        <v>345.15370144706776</v>
      </c>
      <c r="H345" s="20" t="s">
        <v>778</v>
      </c>
    </row>
    <row r="346" spans="1:8" x14ac:dyDescent="0.25">
      <c r="A346" s="67">
        <v>43096</v>
      </c>
      <c r="B346" s="67" t="s">
        <v>723</v>
      </c>
      <c r="C346" s="68">
        <v>1990</v>
      </c>
      <c r="D346" s="114">
        <v>245</v>
      </c>
      <c r="E346" s="114">
        <v>8878</v>
      </c>
      <c r="F346" s="115">
        <v>56820.7</v>
      </c>
      <c r="G346" s="20">
        <f t="shared" si="5"/>
        <v>231.92122448979592</v>
      </c>
      <c r="H346" s="20" t="s">
        <v>778</v>
      </c>
    </row>
    <row r="347" spans="1:8" x14ac:dyDescent="0.25">
      <c r="A347" s="57">
        <v>8129</v>
      </c>
      <c r="B347" s="57" t="s">
        <v>209</v>
      </c>
      <c r="C347" s="60">
        <v>1987</v>
      </c>
      <c r="D347" s="57">
        <v>563</v>
      </c>
      <c r="E347" s="60">
        <v>29129</v>
      </c>
      <c r="F347" s="64">
        <v>200699</v>
      </c>
      <c r="G347" s="20">
        <f t="shared" si="5"/>
        <v>356.48134991119008</v>
      </c>
      <c r="H347" s="20" t="s">
        <v>86</v>
      </c>
    </row>
    <row r="348" spans="1:8" x14ac:dyDescent="0.25">
      <c r="A348" s="57">
        <v>8139</v>
      </c>
      <c r="B348" s="57" t="s">
        <v>210</v>
      </c>
      <c r="C348" s="60">
        <v>2005</v>
      </c>
      <c r="D348" s="57">
        <v>335</v>
      </c>
      <c r="E348" s="60">
        <v>15821</v>
      </c>
      <c r="F348" s="64">
        <v>129735</v>
      </c>
      <c r="G348" s="20">
        <f t="shared" si="5"/>
        <v>387.26865671641792</v>
      </c>
      <c r="H348" s="20" t="s">
        <v>86</v>
      </c>
    </row>
    <row r="349" spans="1:8" x14ac:dyDescent="0.25">
      <c r="A349" s="57">
        <v>8140</v>
      </c>
      <c r="B349" s="57" t="s">
        <v>211</v>
      </c>
      <c r="C349" s="60">
        <v>2005</v>
      </c>
      <c r="D349" s="60">
        <v>4216</v>
      </c>
      <c r="E349" s="60">
        <v>267941</v>
      </c>
      <c r="F349" s="64">
        <v>1645158</v>
      </c>
      <c r="G349" s="20">
        <f t="shared" si="5"/>
        <v>390.21774193548384</v>
      </c>
      <c r="H349" s="20" t="s">
        <v>86</v>
      </c>
    </row>
    <row r="350" spans="1:8" x14ac:dyDescent="0.25">
      <c r="A350" s="57">
        <v>8141</v>
      </c>
      <c r="B350" s="57" t="s">
        <v>212</v>
      </c>
      <c r="C350" s="60">
        <v>2008</v>
      </c>
      <c r="D350" s="60">
        <v>4294</v>
      </c>
      <c r="E350" s="60">
        <v>243580</v>
      </c>
      <c r="F350" s="64">
        <v>1943430</v>
      </c>
      <c r="G350" s="20">
        <f t="shared" si="5"/>
        <v>452.59198882161155</v>
      </c>
      <c r="H350" s="20" t="s">
        <v>86</v>
      </c>
    </row>
    <row r="351" spans="1:8" x14ac:dyDescent="0.25">
      <c r="A351" s="70">
        <v>17111</v>
      </c>
      <c r="B351" s="70" t="s">
        <v>509</v>
      </c>
      <c r="C351" s="74">
        <v>1989</v>
      </c>
      <c r="D351" s="74">
        <v>1139</v>
      </c>
      <c r="E351" s="74">
        <v>71020</v>
      </c>
      <c r="F351" s="74">
        <v>426122</v>
      </c>
      <c r="G351" s="20">
        <f t="shared" si="5"/>
        <v>374.1194029850746</v>
      </c>
      <c r="H351" s="20" t="s">
        <v>479</v>
      </c>
    </row>
    <row r="352" spans="1:8" x14ac:dyDescent="0.25">
      <c r="A352" s="57">
        <v>8142</v>
      </c>
      <c r="B352" s="57" t="s">
        <v>213</v>
      </c>
      <c r="C352" s="60">
        <v>2007</v>
      </c>
      <c r="D352" s="57">
        <v>115</v>
      </c>
      <c r="E352" s="60">
        <v>4398</v>
      </c>
      <c r="F352" s="64">
        <v>24188</v>
      </c>
      <c r="G352" s="20">
        <f t="shared" si="5"/>
        <v>210.33043478260871</v>
      </c>
      <c r="H352" s="20" t="s">
        <v>86</v>
      </c>
    </row>
    <row r="353" spans="1:8" x14ac:dyDescent="0.25">
      <c r="A353" s="65">
        <v>43097</v>
      </c>
      <c r="B353" s="65" t="s">
        <v>724</v>
      </c>
      <c r="C353" s="66">
        <v>1990</v>
      </c>
      <c r="D353" s="114">
        <v>474</v>
      </c>
      <c r="E353" s="114">
        <v>19652</v>
      </c>
      <c r="F353" s="115">
        <v>177851.5</v>
      </c>
      <c r="G353" s="20">
        <f t="shared" si="5"/>
        <v>375.21413502109704</v>
      </c>
      <c r="H353" s="20" t="s">
        <v>778</v>
      </c>
    </row>
    <row r="354" spans="1:8" x14ac:dyDescent="0.25">
      <c r="A354" s="67">
        <v>43098</v>
      </c>
      <c r="B354" s="67" t="s">
        <v>725</v>
      </c>
      <c r="C354" s="68">
        <v>1990</v>
      </c>
      <c r="D354" s="114">
        <v>507</v>
      </c>
      <c r="E354" s="114">
        <v>10686</v>
      </c>
      <c r="F354" s="115">
        <v>101518.75</v>
      </c>
      <c r="G354" s="20">
        <f t="shared" si="5"/>
        <v>200.23422090729784</v>
      </c>
      <c r="H354" s="20" t="s">
        <v>778</v>
      </c>
    </row>
    <row r="355" spans="1:8" x14ac:dyDescent="0.25">
      <c r="A355" s="57">
        <v>8143</v>
      </c>
      <c r="B355" s="57" t="s">
        <v>214</v>
      </c>
      <c r="C355" s="60">
        <v>2014</v>
      </c>
      <c r="D355" s="60">
        <v>2438</v>
      </c>
      <c r="E355" s="60">
        <v>160775</v>
      </c>
      <c r="F355" s="64">
        <v>1060430</v>
      </c>
      <c r="G355" s="20">
        <f t="shared" si="5"/>
        <v>434.95898277276456</v>
      </c>
      <c r="H355" s="20" t="s">
        <v>86</v>
      </c>
    </row>
    <row r="356" spans="1:8" x14ac:dyDescent="0.25">
      <c r="A356" s="72">
        <v>17112</v>
      </c>
      <c r="B356" s="72" t="s">
        <v>510</v>
      </c>
      <c r="C356" s="76">
        <v>2007</v>
      </c>
      <c r="D356" s="78">
        <v>268</v>
      </c>
      <c r="E356" s="76">
        <v>9423</v>
      </c>
      <c r="F356" s="76">
        <v>42404</v>
      </c>
      <c r="G356" s="20">
        <f t="shared" si="5"/>
        <v>158.22388059701493</v>
      </c>
      <c r="H356" s="20" t="s">
        <v>479</v>
      </c>
    </row>
    <row r="357" spans="1:8" x14ac:dyDescent="0.25">
      <c r="A357" s="57">
        <v>8145</v>
      </c>
      <c r="B357" s="57" t="s">
        <v>215</v>
      </c>
      <c r="C357" s="60">
        <v>1988</v>
      </c>
      <c r="D357" s="60">
        <v>2946</v>
      </c>
      <c r="E357" s="60">
        <v>217157</v>
      </c>
      <c r="F357" s="64">
        <v>1628677</v>
      </c>
      <c r="G357" s="20">
        <f t="shared" si="5"/>
        <v>552.8435166327223</v>
      </c>
      <c r="H357" s="20" t="s">
        <v>86</v>
      </c>
    </row>
    <row r="358" spans="1:8" x14ac:dyDescent="0.25">
      <c r="A358" s="57">
        <v>8146</v>
      </c>
      <c r="B358" s="57" t="s">
        <v>216</v>
      </c>
      <c r="C358" s="60">
        <v>2008</v>
      </c>
      <c r="D358" s="60">
        <v>1464</v>
      </c>
      <c r="E358" s="60">
        <v>137812</v>
      </c>
      <c r="F358" s="64">
        <v>730402</v>
      </c>
      <c r="G358" s="20">
        <f t="shared" si="5"/>
        <v>498.90846994535519</v>
      </c>
      <c r="H358" s="20" t="s">
        <v>86</v>
      </c>
    </row>
    <row r="359" spans="1:8" x14ac:dyDescent="0.25">
      <c r="A359" s="57">
        <v>8147</v>
      </c>
      <c r="B359" s="57" t="s">
        <v>217</v>
      </c>
      <c r="C359" s="60">
        <v>1996</v>
      </c>
      <c r="D359" s="60">
        <v>15494</v>
      </c>
      <c r="E359" s="60">
        <v>785454</v>
      </c>
      <c r="F359" s="64">
        <v>5636838</v>
      </c>
      <c r="G359" s="20">
        <f t="shared" si="5"/>
        <v>363.80779656641283</v>
      </c>
      <c r="H359" s="20" t="s">
        <v>86</v>
      </c>
    </row>
    <row r="360" spans="1:8" x14ac:dyDescent="0.25">
      <c r="A360" s="57">
        <v>8148</v>
      </c>
      <c r="B360" s="57" t="s">
        <v>218</v>
      </c>
      <c r="C360" s="60">
        <v>2000</v>
      </c>
      <c r="D360" s="60">
        <v>4011</v>
      </c>
      <c r="E360" s="60">
        <v>217763</v>
      </c>
      <c r="F360" s="64">
        <v>2040435</v>
      </c>
      <c r="G360" s="20">
        <f t="shared" si="5"/>
        <v>508.70979805534779</v>
      </c>
      <c r="H360" s="20" t="s">
        <v>86</v>
      </c>
    </row>
    <row r="361" spans="1:8" x14ac:dyDescent="0.25">
      <c r="A361" s="57">
        <v>8149</v>
      </c>
      <c r="B361" s="57" t="s">
        <v>219</v>
      </c>
      <c r="C361" s="60">
        <v>1989</v>
      </c>
      <c r="D361" s="57">
        <v>903</v>
      </c>
      <c r="E361" s="60">
        <v>44836</v>
      </c>
      <c r="F361" s="64">
        <v>325955</v>
      </c>
      <c r="G361" s="20">
        <f t="shared" si="5"/>
        <v>360.96899224806202</v>
      </c>
      <c r="H361" s="20" t="s">
        <v>86</v>
      </c>
    </row>
    <row r="362" spans="1:8" x14ac:dyDescent="0.25">
      <c r="A362" s="70">
        <v>17114</v>
      </c>
      <c r="B362" s="70" t="s">
        <v>511</v>
      </c>
      <c r="C362" s="74">
        <v>2006</v>
      </c>
      <c r="D362" s="74">
        <v>26294</v>
      </c>
      <c r="E362" s="74">
        <v>1170688</v>
      </c>
      <c r="F362" s="74">
        <v>9829097</v>
      </c>
      <c r="G362" s="20">
        <f t="shared" si="5"/>
        <v>373.81520498973151</v>
      </c>
      <c r="H362" s="20" t="s">
        <v>479</v>
      </c>
    </row>
    <row r="363" spans="1:8" x14ac:dyDescent="0.25">
      <c r="A363" s="57">
        <v>8144</v>
      </c>
      <c r="B363" s="57" t="s">
        <v>220</v>
      </c>
      <c r="C363" s="60">
        <v>1986</v>
      </c>
      <c r="D363" s="57">
        <v>752</v>
      </c>
      <c r="E363" s="60">
        <v>24341</v>
      </c>
      <c r="F363" s="64">
        <v>206897</v>
      </c>
      <c r="G363" s="20">
        <f t="shared" si="5"/>
        <v>275.12898936170211</v>
      </c>
      <c r="H363" s="20" t="s">
        <v>86</v>
      </c>
    </row>
    <row r="364" spans="1:8" x14ac:dyDescent="0.25">
      <c r="A364" s="72">
        <v>17115</v>
      </c>
      <c r="B364" s="72" t="s">
        <v>512</v>
      </c>
      <c r="C364" s="76">
        <v>1989</v>
      </c>
      <c r="D364" s="78">
        <v>263</v>
      </c>
      <c r="E364" s="76">
        <v>13945</v>
      </c>
      <c r="F364" s="76">
        <v>66937</v>
      </c>
      <c r="G364" s="20">
        <f t="shared" si="5"/>
        <v>254.51330798479088</v>
      </c>
      <c r="H364" s="20" t="s">
        <v>479</v>
      </c>
    </row>
    <row r="365" spans="1:8" x14ac:dyDescent="0.25">
      <c r="A365" s="57">
        <v>8150</v>
      </c>
      <c r="B365" s="57" t="s">
        <v>221</v>
      </c>
      <c r="C365" s="60">
        <v>1987</v>
      </c>
      <c r="D365" s="57">
        <v>229</v>
      </c>
      <c r="E365" s="60">
        <v>8297</v>
      </c>
      <c r="F365" s="64">
        <v>61401</v>
      </c>
      <c r="G365" s="20">
        <f t="shared" si="5"/>
        <v>268.12663755458516</v>
      </c>
      <c r="H365" s="20" t="s">
        <v>86</v>
      </c>
    </row>
    <row r="366" spans="1:8" x14ac:dyDescent="0.25">
      <c r="A366" s="57">
        <v>8151</v>
      </c>
      <c r="B366" s="57" t="s">
        <v>222</v>
      </c>
      <c r="C366" s="60">
        <v>1989</v>
      </c>
      <c r="D366" s="57">
        <v>469</v>
      </c>
      <c r="E366" s="60">
        <v>18903</v>
      </c>
      <c r="F366" s="64">
        <v>105855</v>
      </c>
      <c r="G366" s="20">
        <f t="shared" si="5"/>
        <v>225.70362473347549</v>
      </c>
      <c r="H366" s="20" t="s">
        <v>86</v>
      </c>
    </row>
    <row r="367" spans="1:8" x14ac:dyDescent="0.25">
      <c r="A367" s="57">
        <v>8152</v>
      </c>
      <c r="B367" s="57" t="s">
        <v>223</v>
      </c>
      <c r="C367" s="60">
        <v>2007</v>
      </c>
      <c r="D367" s="57">
        <v>102</v>
      </c>
      <c r="E367" s="60">
        <v>4823</v>
      </c>
      <c r="F367" s="64">
        <v>44856</v>
      </c>
      <c r="G367" s="20">
        <f t="shared" si="5"/>
        <v>439.76470588235293</v>
      </c>
      <c r="H367" s="20" t="s">
        <v>86</v>
      </c>
    </row>
    <row r="368" spans="1:8" x14ac:dyDescent="0.25">
      <c r="A368" s="57">
        <v>8153</v>
      </c>
      <c r="B368" s="57" t="s">
        <v>224</v>
      </c>
      <c r="C368" s="60">
        <v>2005</v>
      </c>
      <c r="D368" s="57">
        <v>428</v>
      </c>
      <c r="E368" s="60">
        <v>38651</v>
      </c>
      <c r="F368" s="64">
        <v>282924</v>
      </c>
      <c r="G368" s="20">
        <f t="shared" si="5"/>
        <v>661.03738317757006</v>
      </c>
      <c r="H368" s="20" t="s">
        <v>86</v>
      </c>
    </row>
    <row r="369" spans="1:8" x14ac:dyDescent="0.25">
      <c r="A369" s="70">
        <v>17116</v>
      </c>
      <c r="B369" s="70" t="s">
        <v>513</v>
      </c>
      <c r="C369" s="74">
        <v>1990</v>
      </c>
      <c r="D369" s="77">
        <v>435</v>
      </c>
      <c r="E369" s="74">
        <v>15311</v>
      </c>
      <c r="F369" s="74">
        <v>95387</v>
      </c>
      <c r="G369" s="20">
        <f t="shared" si="5"/>
        <v>219.28045977011493</v>
      </c>
      <c r="H369" s="20" t="s">
        <v>479</v>
      </c>
    </row>
    <row r="370" spans="1:8" x14ac:dyDescent="0.25">
      <c r="A370" s="57">
        <v>8154</v>
      </c>
      <c r="B370" s="57" t="s">
        <v>225</v>
      </c>
      <c r="C370" s="60">
        <v>1988</v>
      </c>
      <c r="D370" s="57">
        <v>533</v>
      </c>
      <c r="E370" s="60">
        <v>44504</v>
      </c>
      <c r="F370" s="64">
        <v>209167</v>
      </c>
      <c r="G370" s="20">
        <f t="shared" si="5"/>
        <v>392.43339587242025</v>
      </c>
      <c r="H370" s="20" t="s">
        <v>86</v>
      </c>
    </row>
    <row r="371" spans="1:8" x14ac:dyDescent="0.25">
      <c r="A371" s="57">
        <v>8155</v>
      </c>
      <c r="B371" s="57" t="s">
        <v>226</v>
      </c>
      <c r="C371" s="60">
        <v>1986</v>
      </c>
      <c r="D371" s="60">
        <v>6260</v>
      </c>
      <c r="E371" s="60">
        <v>413623</v>
      </c>
      <c r="F371" s="64">
        <v>3143532</v>
      </c>
      <c r="G371" s="20">
        <f t="shared" si="5"/>
        <v>502.16166134185306</v>
      </c>
      <c r="H371" s="20" t="s">
        <v>86</v>
      </c>
    </row>
    <row r="372" spans="1:8" x14ac:dyDescent="0.25">
      <c r="A372" s="72">
        <v>17117</v>
      </c>
      <c r="B372" s="72" t="s">
        <v>514</v>
      </c>
      <c r="C372" s="76">
        <v>1989</v>
      </c>
      <c r="D372" s="76">
        <v>26322</v>
      </c>
      <c r="E372" s="76">
        <v>1790734</v>
      </c>
      <c r="F372" s="76">
        <v>11931658</v>
      </c>
      <c r="G372" s="20">
        <f t="shared" si="5"/>
        <v>453.29602613783146</v>
      </c>
      <c r="H372" s="20" t="s">
        <v>479</v>
      </c>
    </row>
    <row r="373" spans="1:8" x14ac:dyDescent="0.25">
      <c r="A373" s="70">
        <v>17118</v>
      </c>
      <c r="B373" s="70" t="s">
        <v>515</v>
      </c>
      <c r="C373" s="74">
        <v>2010</v>
      </c>
      <c r="D373" s="74">
        <v>21161</v>
      </c>
      <c r="E373" s="74">
        <v>1276573</v>
      </c>
      <c r="F373" s="74">
        <v>8673461</v>
      </c>
      <c r="G373" s="20">
        <f t="shared" si="5"/>
        <v>409.8795425546997</v>
      </c>
      <c r="H373" s="20" t="s">
        <v>479</v>
      </c>
    </row>
    <row r="374" spans="1:8" x14ac:dyDescent="0.25">
      <c r="A374" s="72">
        <v>17119</v>
      </c>
      <c r="B374" s="72" t="s">
        <v>516</v>
      </c>
      <c r="C374" s="76">
        <v>1989</v>
      </c>
      <c r="D374" s="78">
        <v>122</v>
      </c>
      <c r="E374" s="76">
        <v>6124</v>
      </c>
      <c r="F374" s="76">
        <v>24496</v>
      </c>
      <c r="G374" s="20">
        <f t="shared" si="5"/>
        <v>200.78688524590163</v>
      </c>
      <c r="H374" s="20" t="s">
        <v>479</v>
      </c>
    </row>
    <row r="375" spans="1:8" x14ac:dyDescent="0.25">
      <c r="A375" s="70">
        <v>17121</v>
      </c>
      <c r="B375" s="70" t="s">
        <v>517</v>
      </c>
      <c r="C375" s="74">
        <v>1989</v>
      </c>
      <c r="D375" s="77">
        <v>312</v>
      </c>
      <c r="E375" s="74">
        <v>21049</v>
      </c>
      <c r="F375" s="74">
        <v>138504</v>
      </c>
      <c r="G375" s="20">
        <f t="shared" si="5"/>
        <v>443.92307692307691</v>
      </c>
      <c r="H375" s="20" t="s">
        <v>479</v>
      </c>
    </row>
    <row r="376" spans="1:8" x14ac:dyDescent="0.25">
      <c r="A376" s="72">
        <v>17120</v>
      </c>
      <c r="B376" s="72" t="s">
        <v>518</v>
      </c>
      <c r="C376" s="76">
        <v>1989</v>
      </c>
      <c r="D376" s="76">
        <v>1339</v>
      </c>
      <c r="E376" s="76">
        <v>124527</v>
      </c>
      <c r="F376" s="76">
        <v>935196</v>
      </c>
      <c r="G376" s="20">
        <f t="shared" si="5"/>
        <v>698.42867811799852</v>
      </c>
      <c r="H376" s="20" t="s">
        <v>479</v>
      </c>
    </row>
    <row r="377" spans="1:8" x14ac:dyDescent="0.25">
      <c r="A377" s="57">
        <v>8156</v>
      </c>
      <c r="B377" s="57" t="s">
        <v>227</v>
      </c>
      <c r="C377" s="60">
        <v>2005</v>
      </c>
      <c r="D377" s="60">
        <v>7685</v>
      </c>
      <c r="E377" s="60">
        <v>1077116</v>
      </c>
      <c r="F377" s="64">
        <v>5697943</v>
      </c>
      <c r="G377" s="20">
        <f t="shared" si="5"/>
        <v>741.43695510735199</v>
      </c>
      <c r="H377" s="20" t="s">
        <v>86</v>
      </c>
    </row>
    <row r="378" spans="1:8" x14ac:dyDescent="0.25">
      <c r="A378" s="65">
        <v>43100</v>
      </c>
      <c r="B378" s="65" t="s">
        <v>726</v>
      </c>
      <c r="C378" s="66">
        <v>1990</v>
      </c>
      <c r="D378" s="114">
        <v>2640</v>
      </c>
      <c r="E378" s="114">
        <v>142943</v>
      </c>
      <c r="F378" s="115">
        <v>1000599.88</v>
      </c>
      <c r="G378" s="20">
        <f t="shared" si="5"/>
        <v>379.01510606060606</v>
      </c>
      <c r="H378" s="20" t="s">
        <v>778</v>
      </c>
    </row>
    <row r="379" spans="1:8" x14ac:dyDescent="0.25">
      <c r="A379" s="57">
        <v>8157</v>
      </c>
      <c r="B379" s="57" t="s">
        <v>228</v>
      </c>
      <c r="C379" s="60">
        <v>2006</v>
      </c>
      <c r="D379" s="60">
        <v>6953</v>
      </c>
      <c r="E379" s="60">
        <v>879469</v>
      </c>
      <c r="F379" s="64">
        <v>4744743</v>
      </c>
      <c r="G379" s="20">
        <f t="shared" si="5"/>
        <v>682.40227240040269</v>
      </c>
      <c r="H379" s="20" t="s">
        <v>86</v>
      </c>
    </row>
    <row r="380" spans="1:8" x14ac:dyDescent="0.25">
      <c r="A380" s="57">
        <v>8905</v>
      </c>
      <c r="B380" s="57" t="s">
        <v>229</v>
      </c>
      <c r="C380" s="60">
        <v>2004</v>
      </c>
      <c r="D380" s="60">
        <v>1968</v>
      </c>
      <c r="E380" s="60">
        <v>153584</v>
      </c>
      <c r="F380" s="64">
        <v>1228669</v>
      </c>
      <c r="G380" s="20">
        <f t="shared" si="5"/>
        <v>624.32367886178861</v>
      </c>
      <c r="H380" s="20" t="s">
        <v>86</v>
      </c>
    </row>
    <row r="381" spans="1:8" x14ac:dyDescent="0.25">
      <c r="A381" s="67">
        <v>43099</v>
      </c>
      <c r="B381" s="67" t="s">
        <v>727</v>
      </c>
      <c r="C381" s="68">
        <v>1988</v>
      </c>
      <c r="D381" s="114">
        <v>398</v>
      </c>
      <c r="E381" s="114">
        <v>10138</v>
      </c>
      <c r="F381" s="115">
        <v>65897.929999999993</v>
      </c>
      <c r="G381" s="20">
        <f t="shared" si="5"/>
        <v>165.57268844221105</v>
      </c>
      <c r="H381" s="20" t="s">
        <v>778</v>
      </c>
    </row>
    <row r="382" spans="1:8" x14ac:dyDescent="0.25">
      <c r="A382" s="70">
        <v>17123</v>
      </c>
      <c r="B382" s="70" t="s">
        <v>519</v>
      </c>
      <c r="C382" s="74">
        <v>1990</v>
      </c>
      <c r="D382" s="77">
        <v>304</v>
      </c>
      <c r="E382" s="74">
        <v>23263</v>
      </c>
      <c r="F382" s="74">
        <v>116316</v>
      </c>
      <c r="G382" s="20">
        <f t="shared" si="5"/>
        <v>382.61842105263156</v>
      </c>
      <c r="H382" s="20" t="s">
        <v>479</v>
      </c>
    </row>
    <row r="383" spans="1:8" x14ac:dyDescent="0.25">
      <c r="A383" s="72">
        <v>17124</v>
      </c>
      <c r="B383" s="72" t="s">
        <v>520</v>
      </c>
      <c r="C383" s="76">
        <v>1989</v>
      </c>
      <c r="D383" s="76">
        <v>5185</v>
      </c>
      <c r="E383" s="76">
        <v>355117</v>
      </c>
      <c r="F383" s="76">
        <v>2734401</v>
      </c>
      <c r="G383" s="20">
        <f t="shared" si="5"/>
        <v>527.36759884281582</v>
      </c>
      <c r="H383" s="20" t="s">
        <v>479</v>
      </c>
    </row>
    <row r="384" spans="1:8" x14ac:dyDescent="0.25">
      <c r="A384" s="57">
        <v>8158</v>
      </c>
      <c r="B384" s="57" t="s">
        <v>230</v>
      </c>
      <c r="C384" s="60">
        <v>2006</v>
      </c>
      <c r="D384" s="60">
        <v>2527</v>
      </c>
      <c r="E384" s="60">
        <v>364327</v>
      </c>
      <c r="F384" s="64">
        <v>2176127</v>
      </c>
      <c r="G384" s="20">
        <f t="shared" si="5"/>
        <v>861.1503759398496</v>
      </c>
      <c r="H384" s="20" t="s">
        <v>86</v>
      </c>
    </row>
    <row r="385" spans="1:8" x14ac:dyDescent="0.25">
      <c r="A385" s="70">
        <v>17125</v>
      </c>
      <c r="B385" s="70" t="s">
        <v>521</v>
      </c>
      <c r="C385" s="74">
        <v>1989</v>
      </c>
      <c r="D385" s="77">
        <v>262</v>
      </c>
      <c r="E385" s="74">
        <v>6651</v>
      </c>
      <c r="F385" s="74">
        <v>63651</v>
      </c>
      <c r="G385" s="20">
        <f t="shared" si="5"/>
        <v>242.94274809160305</v>
      </c>
      <c r="H385" s="20" t="s">
        <v>479</v>
      </c>
    </row>
    <row r="386" spans="1:8" x14ac:dyDescent="0.25">
      <c r="A386" s="57">
        <v>8159</v>
      </c>
      <c r="B386" s="57" t="s">
        <v>231</v>
      </c>
      <c r="C386" s="60">
        <v>2004</v>
      </c>
      <c r="D386" s="60">
        <v>11763</v>
      </c>
      <c r="E386" s="60">
        <v>1119670</v>
      </c>
      <c r="F386" s="64">
        <v>7533564</v>
      </c>
      <c r="G386" s="20">
        <f t="shared" ref="G386:G449" si="6">F386/D386</f>
        <v>640.44580464167302</v>
      </c>
      <c r="H386" s="20" t="s">
        <v>86</v>
      </c>
    </row>
    <row r="387" spans="1:8" x14ac:dyDescent="0.25">
      <c r="A387" s="72">
        <v>17126</v>
      </c>
      <c r="B387" s="72" t="s">
        <v>522</v>
      </c>
      <c r="C387" s="76">
        <v>1989</v>
      </c>
      <c r="D387" s="78">
        <v>311</v>
      </c>
      <c r="E387" s="76">
        <v>15564</v>
      </c>
      <c r="F387" s="76">
        <v>93382</v>
      </c>
      <c r="G387" s="20">
        <f t="shared" si="6"/>
        <v>300.2636655948553</v>
      </c>
      <c r="H387" s="20" t="s">
        <v>479</v>
      </c>
    </row>
    <row r="388" spans="1:8" x14ac:dyDescent="0.25">
      <c r="A388" s="65">
        <v>43101</v>
      </c>
      <c r="B388" s="65" t="s">
        <v>728</v>
      </c>
      <c r="C388" s="66">
        <v>1990</v>
      </c>
      <c r="D388" s="114">
        <v>422</v>
      </c>
      <c r="E388" s="114">
        <v>9986</v>
      </c>
      <c r="F388" s="115">
        <v>54920.89</v>
      </c>
      <c r="G388" s="20">
        <f t="shared" si="6"/>
        <v>130.14428909952608</v>
      </c>
      <c r="H388" s="20" t="s">
        <v>778</v>
      </c>
    </row>
    <row r="389" spans="1:8" x14ac:dyDescent="0.25">
      <c r="A389" s="70">
        <v>17128</v>
      </c>
      <c r="B389" s="70" t="s">
        <v>523</v>
      </c>
      <c r="C389" s="74">
        <v>1989</v>
      </c>
      <c r="D389" s="77">
        <v>442</v>
      </c>
      <c r="E389" s="74">
        <v>36861</v>
      </c>
      <c r="F389" s="74">
        <v>305943</v>
      </c>
      <c r="G389" s="20">
        <f t="shared" si="6"/>
        <v>692.17873303167426</v>
      </c>
      <c r="H389" s="20" t="s">
        <v>479</v>
      </c>
    </row>
    <row r="390" spans="1:8" x14ac:dyDescent="0.25">
      <c r="A390" s="67">
        <v>43102</v>
      </c>
      <c r="B390" s="67" t="s">
        <v>729</v>
      </c>
      <c r="C390" s="68">
        <v>1990</v>
      </c>
      <c r="D390" s="114">
        <v>536</v>
      </c>
      <c r="E390" s="114">
        <v>8811</v>
      </c>
      <c r="F390" s="115">
        <v>70484.95</v>
      </c>
      <c r="G390" s="20">
        <f t="shared" si="6"/>
        <v>131.50177238805969</v>
      </c>
      <c r="H390" s="20" t="s">
        <v>778</v>
      </c>
    </row>
    <row r="391" spans="1:8" x14ac:dyDescent="0.25">
      <c r="A391" s="72">
        <v>17129</v>
      </c>
      <c r="B391" s="72" t="s">
        <v>524</v>
      </c>
      <c r="C391" s="76">
        <v>1989</v>
      </c>
      <c r="D391" s="78">
        <v>143</v>
      </c>
      <c r="E391" s="76">
        <v>7092</v>
      </c>
      <c r="F391" s="76">
        <v>42549</v>
      </c>
      <c r="G391" s="20">
        <f t="shared" si="6"/>
        <v>297.54545454545456</v>
      </c>
      <c r="H391" s="20" t="s">
        <v>479</v>
      </c>
    </row>
    <row r="392" spans="1:8" x14ac:dyDescent="0.25">
      <c r="A392" s="70">
        <v>17130</v>
      </c>
      <c r="B392" s="70" t="s">
        <v>525</v>
      </c>
      <c r="C392" s="74">
        <v>2007</v>
      </c>
      <c r="D392" s="77">
        <v>271</v>
      </c>
      <c r="E392" s="74">
        <v>28053</v>
      </c>
      <c r="F392" s="74">
        <v>134656</v>
      </c>
      <c r="G392" s="20">
        <f t="shared" si="6"/>
        <v>496.88560885608854</v>
      </c>
      <c r="H392" s="20" t="s">
        <v>479</v>
      </c>
    </row>
    <row r="393" spans="1:8" x14ac:dyDescent="0.25">
      <c r="A393" s="57">
        <v>8160</v>
      </c>
      <c r="B393" s="57" t="s">
        <v>232</v>
      </c>
      <c r="C393" s="60">
        <v>1989</v>
      </c>
      <c r="D393" s="57">
        <v>390</v>
      </c>
      <c r="E393" s="60">
        <v>18099</v>
      </c>
      <c r="F393" s="64">
        <v>142981</v>
      </c>
      <c r="G393" s="20">
        <f t="shared" si="6"/>
        <v>366.61794871794871</v>
      </c>
      <c r="H393" s="20" t="s">
        <v>86</v>
      </c>
    </row>
    <row r="394" spans="1:8" x14ac:dyDescent="0.25">
      <c r="A394" s="65">
        <v>43103</v>
      </c>
      <c r="B394" s="65" t="s">
        <v>730</v>
      </c>
      <c r="C394" s="66">
        <v>1990</v>
      </c>
      <c r="D394" s="114">
        <v>1297</v>
      </c>
      <c r="E394" s="114">
        <v>77507</v>
      </c>
      <c r="F394" s="115">
        <v>465042.77</v>
      </c>
      <c r="G394" s="20">
        <f t="shared" si="6"/>
        <v>358.55263685427911</v>
      </c>
      <c r="H394" s="20" t="s">
        <v>778</v>
      </c>
    </row>
    <row r="395" spans="1:8" x14ac:dyDescent="0.25">
      <c r="A395" s="72">
        <v>17132</v>
      </c>
      <c r="B395" s="72" t="s">
        <v>526</v>
      </c>
      <c r="C395" s="76">
        <v>1989</v>
      </c>
      <c r="D395" s="76">
        <v>1467</v>
      </c>
      <c r="E395" s="76">
        <v>143801</v>
      </c>
      <c r="F395" s="76">
        <v>834047</v>
      </c>
      <c r="G395" s="20">
        <f t="shared" si="6"/>
        <v>568.53919563735519</v>
      </c>
      <c r="H395" s="20" t="s">
        <v>479</v>
      </c>
    </row>
    <row r="396" spans="1:8" x14ac:dyDescent="0.25">
      <c r="A396" s="67">
        <v>43104</v>
      </c>
      <c r="B396" s="67" t="s">
        <v>731</v>
      </c>
      <c r="C396" s="68">
        <v>1995</v>
      </c>
      <c r="D396" s="114">
        <v>3730</v>
      </c>
      <c r="E396" s="114">
        <v>123765</v>
      </c>
      <c r="F396" s="115">
        <v>1089134.8400000001</v>
      </c>
      <c r="G396" s="20">
        <f t="shared" si="6"/>
        <v>291.993254691689</v>
      </c>
      <c r="H396" s="20" t="s">
        <v>778</v>
      </c>
    </row>
    <row r="397" spans="1:8" x14ac:dyDescent="0.25">
      <c r="A397" s="57">
        <v>8161</v>
      </c>
      <c r="B397" s="57" t="s">
        <v>233</v>
      </c>
      <c r="C397" s="60">
        <v>2005</v>
      </c>
      <c r="D397" s="60">
        <v>10538</v>
      </c>
      <c r="E397" s="60">
        <v>782169</v>
      </c>
      <c r="F397" s="64">
        <v>3582336</v>
      </c>
      <c r="G397" s="20">
        <f t="shared" si="6"/>
        <v>339.94458151451886</v>
      </c>
      <c r="H397" s="20" t="s">
        <v>86</v>
      </c>
    </row>
    <row r="398" spans="1:8" x14ac:dyDescent="0.25">
      <c r="A398" s="65">
        <v>43105</v>
      </c>
      <c r="B398" s="65" t="s">
        <v>732</v>
      </c>
      <c r="C398" s="66">
        <v>2005</v>
      </c>
      <c r="D398" s="114">
        <v>279</v>
      </c>
      <c r="E398" s="114">
        <v>12421</v>
      </c>
      <c r="F398" s="115">
        <v>49685.97</v>
      </c>
      <c r="G398" s="20">
        <f t="shared" si="6"/>
        <v>178.08591397849463</v>
      </c>
      <c r="H398" s="20" t="s">
        <v>778</v>
      </c>
    </row>
    <row r="399" spans="1:8" x14ac:dyDescent="0.25">
      <c r="A399" s="57">
        <v>8163</v>
      </c>
      <c r="B399" s="57" t="s">
        <v>234</v>
      </c>
      <c r="C399" s="60">
        <v>2005</v>
      </c>
      <c r="D399" s="60">
        <v>24269</v>
      </c>
      <c r="E399" s="60">
        <v>1428793</v>
      </c>
      <c r="F399" s="64">
        <v>8429876</v>
      </c>
      <c r="G399" s="20">
        <f t="shared" si="6"/>
        <v>347.35160080761466</v>
      </c>
      <c r="H399" s="20" t="s">
        <v>86</v>
      </c>
    </row>
    <row r="400" spans="1:8" x14ac:dyDescent="0.25">
      <c r="A400" s="67">
        <v>43106</v>
      </c>
      <c r="B400" s="67" t="s">
        <v>733</v>
      </c>
      <c r="C400" s="68">
        <v>1990</v>
      </c>
      <c r="D400" s="114">
        <v>810</v>
      </c>
      <c r="E400" s="114">
        <v>16713</v>
      </c>
      <c r="F400" s="115">
        <v>96935.52</v>
      </c>
      <c r="G400" s="20">
        <f t="shared" si="6"/>
        <v>119.67348148148149</v>
      </c>
      <c r="H400" s="20" t="s">
        <v>778</v>
      </c>
    </row>
    <row r="401" spans="1:8" x14ac:dyDescent="0.25">
      <c r="A401" s="65">
        <v>43107</v>
      </c>
      <c r="B401" s="65" t="s">
        <v>734</v>
      </c>
      <c r="C401" s="66">
        <v>1990</v>
      </c>
      <c r="D401" s="114">
        <v>424</v>
      </c>
      <c r="E401" s="114">
        <v>16212</v>
      </c>
      <c r="F401" s="115">
        <v>121587.54</v>
      </c>
      <c r="G401" s="20">
        <f t="shared" si="6"/>
        <v>286.76306603773583</v>
      </c>
      <c r="H401" s="20" t="s">
        <v>778</v>
      </c>
    </row>
    <row r="402" spans="1:8" x14ac:dyDescent="0.25">
      <c r="A402" s="67">
        <v>43108</v>
      </c>
      <c r="B402" s="67" t="s">
        <v>735</v>
      </c>
      <c r="C402" s="68">
        <v>1990</v>
      </c>
      <c r="D402" s="114">
        <v>1968</v>
      </c>
      <c r="E402" s="114">
        <v>103466</v>
      </c>
      <c r="F402" s="115">
        <v>672531.06</v>
      </c>
      <c r="G402" s="20">
        <f t="shared" si="6"/>
        <v>341.73326219512199</v>
      </c>
      <c r="H402" s="20" t="s">
        <v>778</v>
      </c>
    </row>
    <row r="403" spans="1:8" x14ac:dyDescent="0.25">
      <c r="A403" s="57">
        <v>8164</v>
      </c>
      <c r="B403" s="57" t="s">
        <v>235</v>
      </c>
      <c r="C403" s="60">
        <v>1996</v>
      </c>
      <c r="D403" s="60">
        <v>1122</v>
      </c>
      <c r="E403" s="60">
        <v>55413</v>
      </c>
      <c r="F403" s="64">
        <v>347996</v>
      </c>
      <c r="G403" s="20">
        <f t="shared" si="6"/>
        <v>310.15686274509807</v>
      </c>
      <c r="H403" s="20" t="s">
        <v>86</v>
      </c>
    </row>
    <row r="404" spans="1:8" x14ac:dyDescent="0.25">
      <c r="A404" s="70">
        <v>17133</v>
      </c>
      <c r="B404" s="70" t="s">
        <v>527</v>
      </c>
      <c r="C404" s="74">
        <v>2013</v>
      </c>
      <c r="D404" s="77">
        <v>983</v>
      </c>
      <c r="E404" s="74">
        <v>62763</v>
      </c>
      <c r="F404" s="74">
        <v>305122</v>
      </c>
      <c r="G404" s="20">
        <f t="shared" si="6"/>
        <v>310.39877924720247</v>
      </c>
      <c r="H404" s="20" t="s">
        <v>479</v>
      </c>
    </row>
    <row r="405" spans="1:8" x14ac:dyDescent="0.25">
      <c r="A405" s="72">
        <v>17134</v>
      </c>
      <c r="B405" s="72" t="s">
        <v>528</v>
      </c>
      <c r="C405" s="76">
        <v>1989</v>
      </c>
      <c r="D405" s="78">
        <v>916</v>
      </c>
      <c r="E405" s="76">
        <v>33728</v>
      </c>
      <c r="F405" s="76">
        <v>286111</v>
      </c>
      <c r="G405" s="20">
        <f t="shared" si="6"/>
        <v>312.34825327510919</v>
      </c>
      <c r="H405" s="20" t="s">
        <v>479</v>
      </c>
    </row>
    <row r="406" spans="1:8" x14ac:dyDescent="0.25">
      <c r="A406" s="57">
        <v>8165</v>
      </c>
      <c r="B406" s="57" t="s">
        <v>236</v>
      </c>
      <c r="C406" s="60">
        <v>2010</v>
      </c>
      <c r="D406" s="60">
        <v>1402</v>
      </c>
      <c r="E406" s="60">
        <v>133805</v>
      </c>
      <c r="F406" s="64">
        <v>839228</v>
      </c>
      <c r="G406" s="20">
        <f t="shared" si="6"/>
        <v>598.59343794579172</v>
      </c>
      <c r="H406" s="20" t="s">
        <v>86</v>
      </c>
    </row>
    <row r="407" spans="1:8" x14ac:dyDescent="0.25">
      <c r="A407" s="57">
        <v>8166</v>
      </c>
      <c r="B407" s="57" t="s">
        <v>237</v>
      </c>
      <c r="C407" s="60">
        <v>1986</v>
      </c>
      <c r="D407" s="60">
        <v>1098</v>
      </c>
      <c r="E407" s="60">
        <v>41951</v>
      </c>
      <c r="F407" s="64">
        <v>335610</v>
      </c>
      <c r="G407" s="20">
        <f t="shared" si="6"/>
        <v>305.65573770491801</v>
      </c>
      <c r="H407" s="20" t="s">
        <v>86</v>
      </c>
    </row>
    <row r="408" spans="1:8" x14ac:dyDescent="0.25">
      <c r="A408" s="65">
        <v>43109</v>
      </c>
      <c r="B408" s="65" t="s">
        <v>736</v>
      </c>
      <c r="C408" s="66">
        <v>1990</v>
      </c>
      <c r="D408" s="114">
        <v>2963</v>
      </c>
      <c r="E408" s="114">
        <v>89474</v>
      </c>
      <c r="F408" s="115">
        <v>357895.33</v>
      </c>
      <c r="G408" s="20">
        <f t="shared" si="6"/>
        <v>120.78816402294972</v>
      </c>
      <c r="H408" s="20" t="s">
        <v>778</v>
      </c>
    </row>
    <row r="409" spans="1:8" x14ac:dyDescent="0.25">
      <c r="A409" s="67">
        <v>43110</v>
      </c>
      <c r="B409" s="67" t="s">
        <v>737</v>
      </c>
      <c r="C409" s="68">
        <v>1990</v>
      </c>
      <c r="D409" s="114">
        <v>383</v>
      </c>
      <c r="E409" s="114">
        <v>7669</v>
      </c>
      <c r="F409" s="115">
        <v>37576.35</v>
      </c>
      <c r="G409" s="20">
        <f t="shared" si="6"/>
        <v>98.110574412532628</v>
      </c>
      <c r="H409" s="20" t="s">
        <v>778</v>
      </c>
    </row>
    <row r="410" spans="1:8" x14ac:dyDescent="0.25">
      <c r="A410" s="65">
        <v>43111</v>
      </c>
      <c r="B410" s="65" t="s">
        <v>738</v>
      </c>
      <c r="C410" s="66">
        <v>1988</v>
      </c>
      <c r="D410" s="114">
        <v>2823</v>
      </c>
      <c r="E410" s="114">
        <v>112025</v>
      </c>
      <c r="F410" s="115">
        <v>907400.3</v>
      </c>
      <c r="G410" s="20">
        <f t="shared" si="6"/>
        <v>321.43120793482115</v>
      </c>
      <c r="H410" s="20" t="s">
        <v>778</v>
      </c>
    </row>
    <row r="411" spans="1:8" x14ac:dyDescent="0.25">
      <c r="A411" s="67">
        <v>43112</v>
      </c>
      <c r="B411" s="67" t="s">
        <v>739</v>
      </c>
      <c r="C411" s="68">
        <v>1990</v>
      </c>
      <c r="D411" s="114">
        <v>491</v>
      </c>
      <c r="E411" s="114">
        <v>10180</v>
      </c>
      <c r="F411" s="115">
        <v>96712.72</v>
      </c>
      <c r="G411" s="20">
        <f t="shared" si="6"/>
        <v>196.97091649694502</v>
      </c>
      <c r="H411" s="20" t="s">
        <v>778</v>
      </c>
    </row>
    <row r="412" spans="1:8" x14ac:dyDescent="0.25">
      <c r="A412" s="57">
        <v>8167</v>
      </c>
      <c r="B412" s="57" t="s">
        <v>238</v>
      </c>
      <c r="C412" s="60">
        <v>2005</v>
      </c>
      <c r="D412" s="60">
        <v>5319</v>
      </c>
      <c r="E412" s="60">
        <v>588015</v>
      </c>
      <c r="F412" s="64">
        <v>3283296</v>
      </c>
      <c r="G412" s="20">
        <f t="shared" si="6"/>
        <v>617.27693175408911</v>
      </c>
      <c r="H412" s="20" t="s">
        <v>86</v>
      </c>
    </row>
    <row r="413" spans="1:8" x14ac:dyDescent="0.25">
      <c r="A413" s="65">
        <v>43113</v>
      </c>
      <c r="B413" s="65" t="s">
        <v>740</v>
      </c>
      <c r="C413" s="66">
        <v>1990</v>
      </c>
      <c r="D413" s="114">
        <v>557</v>
      </c>
      <c r="E413" s="114">
        <v>18026</v>
      </c>
      <c r="F413" s="115">
        <v>135198.19</v>
      </c>
      <c r="G413" s="20">
        <f t="shared" si="6"/>
        <v>242.7256552962298</v>
      </c>
      <c r="H413" s="20" t="s">
        <v>778</v>
      </c>
    </row>
    <row r="414" spans="1:8" x14ac:dyDescent="0.25">
      <c r="A414" s="70">
        <v>17135</v>
      </c>
      <c r="B414" s="70" t="s">
        <v>529</v>
      </c>
      <c r="C414" s="74">
        <v>1989</v>
      </c>
      <c r="D414" s="77">
        <v>445</v>
      </c>
      <c r="E414" s="74">
        <v>20619</v>
      </c>
      <c r="F414" s="74">
        <v>136084</v>
      </c>
      <c r="G414" s="20">
        <f t="shared" si="6"/>
        <v>305.80674157303372</v>
      </c>
      <c r="H414" s="20" t="s">
        <v>479</v>
      </c>
    </row>
    <row r="415" spans="1:8" x14ac:dyDescent="0.25">
      <c r="A415" s="57">
        <v>8182</v>
      </c>
      <c r="B415" s="57" t="s">
        <v>239</v>
      </c>
      <c r="C415" s="60">
        <v>2005</v>
      </c>
      <c r="D415" s="60">
        <v>2344</v>
      </c>
      <c r="E415" s="60">
        <v>118915</v>
      </c>
      <c r="F415" s="64">
        <v>821683</v>
      </c>
      <c r="G415" s="20">
        <f t="shared" si="6"/>
        <v>350.54735494880543</v>
      </c>
      <c r="H415" s="20" t="s">
        <v>86</v>
      </c>
    </row>
    <row r="416" spans="1:8" x14ac:dyDescent="0.25">
      <c r="A416" s="67">
        <v>43141</v>
      </c>
      <c r="B416" s="67" t="s">
        <v>741</v>
      </c>
      <c r="C416" s="68">
        <v>1990</v>
      </c>
      <c r="D416" s="114">
        <v>270</v>
      </c>
      <c r="E416" s="114">
        <v>5128</v>
      </c>
      <c r="F416" s="115">
        <v>25640.400000000001</v>
      </c>
      <c r="G416" s="20">
        <f t="shared" si="6"/>
        <v>94.964444444444453</v>
      </c>
      <c r="H416" s="20" t="s">
        <v>778</v>
      </c>
    </row>
    <row r="417" spans="1:8" x14ac:dyDescent="0.25">
      <c r="A417" s="57">
        <v>8168</v>
      </c>
      <c r="B417" s="57" t="s">
        <v>240</v>
      </c>
      <c r="C417" s="60">
        <v>2004</v>
      </c>
      <c r="D417" s="57">
        <v>934</v>
      </c>
      <c r="E417" s="60">
        <v>17591</v>
      </c>
      <c r="F417" s="64">
        <v>181185</v>
      </c>
      <c r="G417" s="20">
        <f t="shared" si="6"/>
        <v>193.9882226980728</v>
      </c>
      <c r="H417" s="20" t="s">
        <v>86</v>
      </c>
    </row>
    <row r="418" spans="1:8" x14ac:dyDescent="0.25">
      <c r="A418" s="72">
        <v>17136</v>
      </c>
      <c r="B418" s="72" t="s">
        <v>530</v>
      </c>
      <c r="C418" s="76">
        <v>1989</v>
      </c>
      <c r="D418" s="78">
        <v>211</v>
      </c>
      <c r="E418" s="76">
        <v>15200</v>
      </c>
      <c r="F418" s="76">
        <v>72958</v>
      </c>
      <c r="G418" s="20">
        <f t="shared" si="6"/>
        <v>345.77251184834125</v>
      </c>
      <c r="H418" s="20" t="s">
        <v>479</v>
      </c>
    </row>
    <row r="419" spans="1:8" x14ac:dyDescent="0.25">
      <c r="A419" s="70">
        <v>17137</v>
      </c>
      <c r="B419" s="70" t="s">
        <v>531</v>
      </c>
      <c r="C419" s="74">
        <v>2006</v>
      </c>
      <c r="D419" s="74">
        <v>2796</v>
      </c>
      <c r="E419" s="74">
        <v>233529</v>
      </c>
      <c r="F419" s="74">
        <v>1212013</v>
      </c>
      <c r="G419" s="20">
        <f t="shared" si="6"/>
        <v>433.48104434907009</v>
      </c>
      <c r="H419" s="20" t="s">
        <v>479</v>
      </c>
    </row>
    <row r="420" spans="1:8" x14ac:dyDescent="0.25">
      <c r="A420" s="65">
        <v>43114</v>
      </c>
      <c r="B420" s="65" t="s">
        <v>742</v>
      </c>
      <c r="C420" s="66">
        <v>1989</v>
      </c>
      <c r="D420" s="114">
        <v>474</v>
      </c>
      <c r="E420" s="114">
        <v>7809</v>
      </c>
      <c r="F420" s="115">
        <v>51540.91</v>
      </c>
      <c r="G420" s="20">
        <f t="shared" si="6"/>
        <v>108.73609704641351</v>
      </c>
      <c r="H420" s="20" t="s">
        <v>778</v>
      </c>
    </row>
    <row r="421" spans="1:8" x14ac:dyDescent="0.25">
      <c r="A421" s="72">
        <v>17140</v>
      </c>
      <c r="B421" s="72" t="s">
        <v>532</v>
      </c>
      <c r="C421" s="76">
        <v>1996</v>
      </c>
      <c r="D421" s="76">
        <v>3384</v>
      </c>
      <c r="E421" s="76">
        <v>242951</v>
      </c>
      <c r="F421" s="76">
        <v>1321651</v>
      </c>
      <c r="G421" s="20">
        <f t="shared" si="6"/>
        <v>390.55880614657212</v>
      </c>
      <c r="H421" s="20" t="s">
        <v>479</v>
      </c>
    </row>
    <row r="422" spans="1:8" x14ac:dyDescent="0.25">
      <c r="A422" s="70">
        <v>17138</v>
      </c>
      <c r="B422" s="70" t="s">
        <v>533</v>
      </c>
      <c r="C422" s="74">
        <v>1989</v>
      </c>
      <c r="D422" s="74">
        <v>1443</v>
      </c>
      <c r="E422" s="74">
        <v>46304</v>
      </c>
      <c r="F422" s="74">
        <v>478398</v>
      </c>
      <c r="G422" s="20">
        <f t="shared" si="6"/>
        <v>331.53014553014555</v>
      </c>
      <c r="H422" s="20" t="s">
        <v>479</v>
      </c>
    </row>
    <row r="423" spans="1:8" x14ac:dyDescent="0.25">
      <c r="A423" s="67">
        <v>43115</v>
      </c>
      <c r="B423" s="67" t="s">
        <v>743</v>
      </c>
      <c r="C423" s="68">
        <v>1989</v>
      </c>
      <c r="D423" s="114">
        <v>238</v>
      </c>
      <c r="E423" s="114">
        <v>6085</v>
      </c>
      <c r="F423" s="115">
        <v>54768.77</v>
      </c>
      <c r="G423" s="20">
        <f t="shared" si="6"/>
        <v>230.12088235294115</v>
      </c>
      <c r="H423" s="20" t="s">
        <v>778</v>
      </c>
    </row>
    <row r="424" spans="1:8" x14ac:dyDescent="0.25">
      <c r="A424" s="65">
        <v>43116</v>
      </c>
      <c r="B424" s="65" t="s">
        <v>744</v>
      </c>
      <c r="C424" s="66">
        <v>2008</v>
      </c>
      <c r="D424" s="114">
        <v>1468</v>
      </c>
      <c r="E424" s="114">
        <v>74722</v>
      </c>
      <c r="F424" s="115">
        <v>474338.29</v>
      </c>
      <c r="G424" s="20">
        <f t="shared" si="6"/>
        <v>323.11872615803816</v>
      </c>
      <c r="H424" s="20" t="s">
        <v>778</v>
      </c>
    </row>
    <row r="425" spans="1:8" x14ac:dyDescent="0.25">
      <c r="A425" s="67">
        <v>43117</v>
      </c>
      <c r="B425" s="67" t="s">
        <v>745</v>
      </c>
      <c r="C425" s="68">
        <v>1990</v>
      </c>
      <c r="D425" s="114">
        <v>248</v>
      </c>
      <c r="E425" s="114">
        <v>5104</v>
      </c>
      <c r="F425" s="115">
        <v>30625.51</v>
      </c>
      <c r="G425" s="20">
        <f t="shared" si="6"/>
        <v>123.48995967741935</v>
      </c>
      <c r="H425" s="20" t="s">
        <v>778</v>
      </c>
    </row>
    <row r="426" spans="1:8" x14ac:dyDescent="0.25">
      <c r="A426" s="57">
        <v>8169</v>
      </c>
      <c r="B426" s="57" t="s">
        <v>241</v>
      </c>
      <c r="C426" s="60">
        <v>1997</v>
      </c>
      <c r="D426" s="60">
        <v>36892</v>
      </c>
      <c r="E426" s="60">
        <v>3108414</v>
      </c>
      <c r="F426" s="64">
        <v>17344950</v>
      </c>
      <c r="G426" s="20">
        <f t="shared" si="6"/>
        <v>470.15477610322023</v>
      </c>
      <c r="H426" s="20" t="s">
        <v>86</v>
      </c>
    </row>
    <row r="427" spans="1:8" x14ac:dyDescent="0.25">
      <c r="A427" s="65">
        <v>43118</v>
      </c>
      <c r="B427" s="65" t="s">
        <v>746</v>
      </c>
      <c r="C427" s="66">
        <v>1989</v>
      </c>
      <c r="D427" s="114">
        <v>977</v>
      </c>
      <c r="E427" s="114">
        <v>48762</v>
      </c>
      <c r="F427" s="115">
        <v>277942.40999999997</v>
      </c>
      <c r="G427" s="20">
        <f t="shared" si="6"/>
        <v>284.48557830092113</v>
      </c>
      <c r="H427" s="20" t="s">
        <v>778</v>
      </c>
    </row>
    <row r="428" spans="1:8" x14ac:dyDescent="0.25">
      <c r="A428" s="57">
        <v>8171</v>
      </c>
      <c r="B428" s="57" t="s">
        <v>242</v>
      </c>
      <c r="C428" s="60">
        <v>1988</v>
      </c>
      <c r="D428" s="60">
        <v>1864</v>
      </c>
      <c r="E428" s="60">
        <v>79426</v>
      </c>
      <c r="F428" s="64">
        <v>778372</v>
      </c>
      <c r="G428" s="20">
        <f t="shared" si="6"/>
        <v>417.58154506437768</v>
      </c>
      <c r="H428" s="20" t="s">
        <v>86</v>
      </c>
    </row>
    <row r="429" spans="1:8" x14ac:dyDescent="0.25">
      <c r="A429" s="57">
        <v>8170</v>
      </c>
      <c r="B429" s="57" t="s">
        <v>243</v>
      </c>
      <c r="C429" s="60">
        <v>1989</v>
      </c>
      <c r="D429" s="57">
        <v>441</v>
      </c>
      <c r="E429" s="60">
        <v>18154</v>
      </c>
      <c r="F429" s="64">
        <v>121633</v>
      </c>
      <c r="G429" s="20">
        <f t="shared" si="6"/>
        <v>275.81179138321994</v>
      </c>
      <c r="H429" s="20" t="s">
        <v>86</v>
      </c>
    </row>
    <row r="430" spans="1:8" x14ac:dyDescent="0.25">
      <c r="A430" s="57">
        <v>8230</v>
      </c>
      <c r="B430" s="57" t="s">
        <v>244</v>
      </c>
      <c r="C430" s="60">
        <v>2010</v>
      </c>
      <c r="D430" s="60">
        <v>5404</v>
      </c>
      <c r="E430" s="60">
        <v>617367</v>
      </c>
      <c r="F430" s="64">
        <v>3410160</v>
      </c>
      <c r="G430" s="20">
        <f t="shared" si="6"/>
        <v>631.0436713545522</v>
      </c>
      <c r="H430" s="20" t="s">
        <v>86</v>
      </c>
    </row>
    <row r="431" spans="1:8" x14ac:dyDescent="0.25">
      <c r="A431" s="57">
        <v>8172</v>
      </c>
      <c r="B431" s="57" t="s">
        <v>245</v>
      </c>
      <c r="C431" s="60">
        <v>2013</v>
      </c>
      <c r="D431" s="60">
        <v>18196</v>
      </c>
      <c r="E431" s="60">
        <v>1037301</v>
      </c>
      <c r="F431" s="64">
        <v>6584686</v>
      </c>
      <c r="G431" s="20">
        <f t="shared" si="6"/>
        <v>361.87546713563421</v>
      </c>
      <c r="H431" s="20" t="s">
        <v>86</v>
      </c>
    </row>
    <row r="432" spans="1:8" x14ac:dyDescent="0.25">
      <c r="A432" s="72">
        <v>17139</v>
      </c>
      <c r="B432" s="72" t="s">
        <v>534</v>
      </c>
      <c r="C432" s="76">
        <v>2000</v>
      </c>
      <c r="D432" s="76">
        <v>1188</v>
      </c>
      <c r="E432" s="76">
        <v>90462</v>
      </c>
      <c r="F432" s="76">
        <v>691379</v>
      </c>
      <c r="G432" s="20">
        <f t="shared" si="6"/>
        <v>581.9688552188552</v>
      </c>
      <c r="H432" s="20" t="s">
        <v>479</v>
      </c>
    </row>
    <row r="433" spans="1:8" x14ac:dyDescent="0.25">
      <c r="A433" s="70">
        <v>17141</v>
      </c>
      <c r="B433" s="70" t="s">
        <v>535</v>
      </c>
      <c r="C433" s="74">
        <v>1986</v>
      </c>
      <c r="D433" s="74">
        <v>9192</v>
      </c>
      <c r="E433" s="74">
        <v>304017</v>
      </c>
      <c r="F433" s="74">
        <v>3286426</v>
      </c>
      <c r="G433" s="20">
        <f t="shared" si="6"/>
        <v>357.5311140121845</v>
      </c>
      <c r="H433" s="20" t="s">
        <v>479</v>
      </c>
    </row>
    <row r="434" spans="1:8" x14ac:dyDescent="0.25">
      <c r="A434" s="57">
        <v>8174</v>
      </c>
      <c r="B434" s="57" t="s">
        <v>246</v>
      </c>
      <c r="C434" s="60">
        <v>2009</v>
      </c>
      <c r="D434" s="57">
        <v>299</v>
      </c>
      <c r="E434" s="60">
        <v>16281</v>
      </c>
      <c r="F434" s="64">
        <v>106644</v>
      </c>
      <c r="G434" s="20">
        <f t="shared" si="6"/>
        <v>356.66889632107024</v>
      </c>
      <c r="H434" s="20" t="s">
        <v>86</v>
      </c>
    </row>
    <row r="435" spans="1:8" x14ac:dyDescent="0.25">
      <c r="A435" s="67">
        <v>43119</v>
      </c>
      <c r="B435" s="67" t="s">
        <v>747</v>
      </c>
      <c r="C435" s="68">
        <v>1990</v>
      </c>
      <c r="D435" s="114">
        <v>934</v>
      </c>
      <c r="E435" s="114">
        <v>55036</v>
      </c>
      <c r="F435" s="115">
        <v>283435.63</v>
      </c>
      <c r="G435" s="20">
        <f t="shared" si="6"/>
        <v>303.46427194860814</v>
      </c>
      <c r="H435" s="20" t="s">
        <v>778</v>
      </c>
    </row>
    <row r="436" spans="1:8" x14ac:dyDescent="0.25">
      <c r="A436" s="57">
        <v>8175</v>
      </c>
      <c r="B436" s="57" t="s">
        <v>247</v>
      </c>
      <c r="C436" s="60">
        <v>2010</v>
      </c>
      <c r="D436" s="60">
        <v>3244</v>
      </c>
      <c r="E436" s="60">
        <v>125907</v>
      </c>
      <c r="F436" s="64">
        <v>992963</v>
      </c>
      <c r="G436" s="20">
        <f t="shared" si="6"/>
        <v>306.09217016029595</v>
      </c>
      <c r="H436" s="20" t="s">
        <v>86</v>
      </c>
    </row>
    <row r="437" spans="1:8" x14ac:dyDescent="0.25">
      <c r="A437" s="57">
        <v>8176</v>
      </c>
      <c r="B437" s="57" t="s">
        <v>248</v>
      </c>
      <c r="C437" s="60">
        <v>2009</v>
      </c>
      <c r="D437" s="57">
        <v>270</v>
      </c>
      <c r="E437" s="60">
        <v>9387</v>
      </c>
      <c r="F437" s="64">
        <v>37547</v>
      </c>
      <c r="G437" s="20">
        <f t="shared" si="6"/>
        <v>139.06296296296296</v>
      </c>
      <c r="H437" s="20" t="s">
        <v>86</v>
      </c>
    </row>
    <row r="438" spans="1:8" x14ac:dyDescent="0.25">
      <c r="A438" s="57">
        <v>8177</v>
      </c>
      <c r="B438" s="57" t="s">
        <v>249</v>
      </c>
      <c r="C438" s="60">
        <v>1988</v>
      </c>
      <c r="D438" s="57">
        <v>33</v>
      </c>
      <c r="E438" s="60">
        <v>1277</v>
      </c>
      <c r="F438" s="64">
        <v>7150</v>
      </c>
      <c r="G438" s="20">
        <f t="shared" si="6"/>
        <v>216.66666666666666</v>
      </c>
      <c r="H438" s="20" t="s">
        <v>86</v>
      </c>
    </row>
    <row r="439" spans="1:8" x14ac:dyDescent="0.25">
      <c r="A439" s="53">
        <v>17142</v>
      </c>
      <c r="B439" s="53" t="s">
        <v>536</v>
      </c>
      <c r="C439" s="54">
        <v>1987</v>
      </c>
      <c r="D439" s="54">
        <v>2289</v>
      </c>
      <c r="E439" s="54">
        <v>115703</v>
      </c>
      <c r="F439" s="54">
        <v>936038</v>
      </c>
      <c r="G439" s="20">
        <f t="shared" si="6"/>
        <v>408.92878986456969</v>
      </c>
      <c r="H439" s="20" t="s">
        <v>479</v>
      </c>
    </row>
    <row r="440" spans="1:8" x14ac:dyDescent="0.25">
      <c r="A440" s="50">
        <v>17043</v>
      </c>
      <c r="B440" s="50" t="s">
        <v>537</v>
      </c>
      <c r="C440" s="51">
        <v>1989</v>
      </c>
      <c r="D440" s="52">
        <v>557</v>
      </c>
      <c r="E440" s="51">
        <v>15229</v>
      </c>
      <c r="F440" s="51">
        <v>167519</v>
      </c>
      <c r="G440" s="20">
        <f t="shared" si="6"/>
        <v>300.75224416517057</v>
      </c>
      <c r="H440" s="20" t="s">
        <v>479</v>
      </c>
    </row>
    <row r="441" spans="1:8" x14ac:dyDescent="0.25">
      <c r="A441" s="65">
        <v>43120</v>
      </c>
      <c r="B441" s="65" t="s">
        <v>748</v>
      </c>
      <c r="C441" s="66">
        <v>1990</v>
      </c>
      <c r="D441" s="114">
        <v>2086</v>
      </c>
      <c r="E441" s="114">
        <v>40895</v>
      </c>
      <c r="F441" s="115">
        <v>204475.26</v>
      </c>
      <c r="G441" s="20">
        <f t="shared" si="6"/>
        <v>98.022655800575265</v>
      </c>
      <c r="H441" s="20" t="s">
        <v>778</v>
      </c>
    </row>
    <row r="442" spans="1:8" x14ac:dyDescent="0.25">
      <c r="A442" s="53">
        <v>17143</v>
      </c>
      <c r="B442" s="53" t="s">
        <v>538</v>
      </c>
      <c r="C442" s="54">
        <v>1989</v>
      </c>
      <c r="D442" s="55">
        <v>228</v>
      </c>
      <c r="E442" s="54">
        <v>7196</v>
      </c>
      <c r="F442" s="54">
        <v>57568</v>
      </c>
      <c r="G442" s="20">
        <f t="shared" si="6"/>
        <v>252.49122807017545</v>
      </c>
      <c r="H442" s="20" t="s">
        <v>479</v>
      </c>
    </row>
    <row r="443" spans="1:8" x14ac:dyDescent="0.25">
      <c r="A443" s="57">
        <v>8178</v>
      </c>
      <c r="B443" s="57" t="s">
        <v>250</v>
      </c>
      <c r="C443" s="60">
        <v>2008</v>
      </c>
      <c r="D443" s="57">
        <v>218</v>
      </c>
      <c r="E443" s="60">
        <v>9538</v>
      </c>
      <c r="F443" s="64">
        <v>56272</v>
      </c>
      <c r="G443" s="20">
        <f t="shared" si="6"/>
        <v>258.12844036697248</v>
      </c>
      <c r="H443" s="20" t="s">
        <v>86</v>
      </c>
    </row>
    <row r="444" spans="1:8" x14ac:dyDescent="0.25">
      <c r="A444" s="67">
        <v>43121</v>
      </c>
      <c r="B444" s="67" t="s">
        <v>749</v>
      </c>
      <c r="C444" s="68">
        <v>1990</v>
      </c>
      <c r="D444" s="114">
        <v>881</v>
      </c>
      <c r="E444" s="114">
        <v>22733</v>
      </c>
      <c r="F444" s="115">
        <v>181864.16</v>
      </c>
      <c r="G444" s="20">
        <f t="shared" si="6"/>
        <v>206.42923950056755</v>
      </c>
      <c r="H444" s="20" t="s">
        <v>778</v>
      </c>
    </row>
    <row r="445" spans="1:8" x14ac:dyDescent="0.25">
      <c r="A445" s="50">
        <v>17144</v>
      </c>
      <c r="B445" s="50" t="s">
        <v>539</v>
      </c>
      <c r="C445" s="51">
        <v>2007</v>
      </c>
      <c r="D445" s="52">
        <v>182</v>
      </c>
      <c r="E445" s="51">
        <v>18820</v>
      </c>
      <c r="F445" s="51">
        <v>84688</v>
      </c>
      <c r="G445" s="20">
        <f t="shared" si="6"/>
        <v>465.31868131868134</v>
      </c>
      <c r="H445" s="20" t="s">
        <v>479</v>
      </c>
    </row>
    <row r="446" spans="1:8" x14ac:dyDescent="0.25">
      <c r="A446" s="57">
        <v>8179</v>
      </c>
      <c r="B446" s="57" t="s">
        <v>251</v>
      </c>
      <c r="C446" s="60">
        <v>1996</v>
      </c>
      <c r="D446" s="57">
        <v>789</v>
      </c>
      <c r="E446" s="60">
        <v>34887</v>
      </c>
      <c r="F446" s="64">
        <v>244211</v>
      </c>
      <c r="G446" s="20">
        <f t="shared" si="6"/>
        <v>309.51964512040558</v>
      </c>
      <c r="H446" s="20" t="s">
        <v>86</v>
      </c>
    </row>
    <row r="447" spans="1:8" x14ac:dyDescent="0.25">
      <c r="A447" s="65">
        <v>43122</v>
      </c>
      <c r="B447" s="65" t="s">
        <v>750</v>
      </c>
      <c r="C447" s="66">
        <v>1990</v>
      </c>
      <c r="D447" s="114">
        <v>117</v>
      </c>
      <c r="E447" s="114">
        <v>3471</v>
      </c>
      <c r="F447" s="115">
        <v>27766.83</v>
      </c>
      <c r="G447" s="20">
        <f t="shared" si="6"/>
        <v>237.32333333333335</v>
      </c>
      <c r="H447" s="20" t="s">
        <v>778</v>
      </c>
    </row>
    <row r="448" spans="1:8" x14ac:dyDescent="0.25">
      <c r="A448" s="67">
        <v>43123</v>
      </c>
      <c r="B448" s="67" t="s">
        <v>751</v>
      </c>
      <c r="C448" s="68">
        <v>2001</v>
      </c>
      <c r="D448" s="114">
        <v>88725</v>
      </c>
      <c r="E448" s="114">
        <v>3869608</v>
      </c>
      <c r="F448" s="115">
        <v>34749105</v>
      </c>
      <c r="G448" s="20">
        <f t="shared" si="6"/>
        <v>391.6495350803043</v>
      </c>
      <c r="H448" s="20" t="s">
        <v>778</v>
      </c>
    </row>
    <row r="449" spans="1:8" x14ac:dyDescent="0.25">
      <c r="A449" s="65">
        <v>43124</v>
      </c>
      <c r="B449" s="65" t="s">
        <v>752</v>
      </c>
      <c r="C449" s="66">
        <v>1990</v>
      </c>
      <c r="D449" s="114">
        <v>541</v>
      </c>
      <c r="E449" s="114">
        <v>15730</v>
      </c>
      <c r="F449" s="115">
        <v>141573.04</v>
      </c>
      <c r="G449" s="20">
        <f t="shared" si="6"/>
        <v>261.68768946395568</v>
      </c>
      <c r="H449" s="20" t="s">
        <v>778</v>
      </c>
    </row>
    <row r="450" spans="1:8" x14ac:dyDescent="0.25">
      <c r="A450" s="67">
        <v>43125</v>
      </c>
      <c r="B450" s="67" t="s">
        <v>753</v>
      </c>
      <c r="C450" s="68">
        <v>1990</v>
      </c>
      <c r="D450" s="114">
        <v>1238</v>
      </c>
      <c r="E450" s="114">
        <v>26998</v>
      </c>
      <c r="F450" s="115">
        <v>237578.41</v>
      </c>
      <c r="G450" s="20">
        <f t="shared" ref="G450:G513" si="7">F450/D450</f>
        <v>191.90501615508884</v>
      </c>
      <c r="H450" s="20" t="s">
        <v>778</v>
      </c>
    </row>
    <row r="451" spans="1:8" x14ac:dyDescent="0.25">
      <c r="A451" s="53">
        <v>17145</v>
      </c>
      <c r="B451" s="53" t="s">
        <v>540</v>
      </c>
      <c r="C451" s="54">
        <v>2012</v>
      </c>
      <c r="D451" s="54">
        <v>2424</v>
      </c>
      <c r="E451" s="54">
        <v>130040</v>
      </c>
      <c r="F451" s="54">
        <v>751524</v>
      </c>
      <c r="G451" s="20">
        <f t="shared" si="7"/>
        <v>310.03465346534654</v>
      </c>
      <c r="H451" s="20" t="s">
        <v>479</v>
      </c>
    </row>
    <row r="452" spans="1:8" x14ac:dyDescent="0.25">
      <c r="A452" s="50">
        <v>17146</v>
      </c>
      <c r="B452" s="50" t="s">
        <v>541</v>
      </c>
      <c r="C452" s="51">
        <v>1990</v>
      </c>
      <c r="D452" s="51">
        <v>3465</v>
      </c>
      <c r="E452" s="51">
        <v>173794</v>
      </c>
      <c r="F452" s="51">
        <v>1598904</v>
      </c>
      <c r="G452" s="20">
        <f t="shared" si="7"/>
        <v>461.44415584415583</v>
      </c>
      <c r="H452" s="20" t="s">
        <v>479</v>
      </c>
    </row>
    <row r="453" spans="1:8" x14ac:dyDescent="0.25">
      <c r="A453" s="65">
        <v>43126</v>
      </c>
      <c r="B453" s="65" t="s">
        <v>754</v>
      </c>
      <c r="C453" s="66">
        <v>1990</v>
      </c>
      <c r="D453" s="114">
        <v>1230</v>
      </c>
      <c r="E453" s="114">
        <v>50050</v>
      </c>
      <c r="F453" s="115">
        <v>425423.17</v>
      </c>
      <c r="G453" s="20">
        <f t="shared" si="7"/>
        <v>345.87249593495932</v>
      </c>
      <c r="H453" s="20" t="s">
        <v>778</v>
      </c>
    </row>
    <row r="454" spans="1:8" x14ac:dyDescent="0.25">
      <c r="A454" s="53">
        <v>17147</v>
      </c>
      <c r="B454" s="53" t="s">
        <v>542</v>
      </c>
      <c r="C454" s="54">
        <v>1990</v>
      </c>
      <c r="D454" s="54">
        <v>8780</v>
      </c>
      <c r="E454" s="54">
        <v>339726</v>
      </c>
      <c r="F454" s="54">
        <v>3499177</v>
      </c>
      <c r="G454" s="20">
        <f t="shared" si="7"/>
        <v>398.5395216400911</v>
      </c>
      <c r="H454" s="20" t="s">
        <v>479</v>
      </c>
    </row>
    <row r="455" spans="1:8" x14ac:dyDescent="0.25">
      <c r="A455" s="57">
        <v>8180</v>
      </c>
      <c r="B455" s="57" t="s">
        <v>252</v>
      </c>
      <c r="C455" s="60">
        <v>2001</v>
      </c>
      <c r="D455" s="60">
        <v>24069</v>
      </c>
      <c r="E455" s="60">
        <v>1063219</v>
      </c>
      <c r="F455" s="64">
        <v>8247978</v>
      </c>
      <c r="G455" s="20">
        <f t="shared" si="7"/>
        <v>342.68054343761685</v>
      </c>
      <c r="H455" s="20" t="s">
        <v>86</v>
      </c>
    </row>
    <row r="456" spans="1:8" x14ac:dyDescent="0.25">
      <c r="A456" s="50">
        <v>17148</v>
      </c>
      <c r="B456" s="50" t="s">
        <v>543</v>
      </c>
      <c r="C456" s="51">
        <v>1990</v>
      </c>
      <c r="D456" s="51">
        <v>2502</v>
      </c>
      <c r="E456" s="51">
        <v>104769</v>
      </c>
      <c r="F456" s="51">
        <v>873145</v>
      </c>
      <c r="G456" s="20">
        <f t="shared" si="7"/>
        <v>348.97881694644286</v>
      </c>
      <c r="H456" s="20" t="s">
        <v>479</v>
      </c>
    </row>
    <row r="457" spans="1:8" x14ac:dyDescent="0.25">
      <c r="A457" s="53">
        <v>17149</v>
      </c>
      <c r="B457" s="53" t="s">
        <v>544</v>
      </c>
      <c r="C457" s="54">
        <v>1987</v>
      </c>
      <c r="D457" s="55">
        <v>367</v>
      </c>
      <c r="E457" s="54">
        <v>14012</v>
      </c>
      <c r="F457" s="54">
        <v>100887</v>
      </c>
      <c r="G457" s="20">
        <f t="shared" si="7"/>
        <v>274.89645776566755</v>
      </c>
      <c r="H457" s="20" t="s">
        <v>479</v>
      </c>
    </row>
    <row r="458" spans="1:8" x14ac:dyDescent="0.25">
      <c r="A458" s="67">
        <v>43127</v>
      </c>
      <c r="B458" s="67" t="s">
        <v>755</v>
      </c>
      <c r="C458" s="68">
        <v>1990</v>
      </c>
      <c r="D458" s="114">
        <v>1273</v>
      </c>
      <c r="E458" s="114">
        <v>42153</v>
      </c>
      <c r="F458" s="115">
        <v>404666.82</v>
      </c>
      <c r="G458" s="20">
        <f t="shared" si="7"/>
        <v>317.88438334642575</v>
      </c>
      <c r="H458" s="20" t="s">
        <v>778</v>
      </c>
    </row>
    <row r="459" spans="1:8" x14ac:dyDescent="0.25">
      <c r="A459" s="65">
        <v>43128</v>
      </c>
      <c r="B459" s="65" t="s">
        <v>756</v>
      </c>
      <c r="C459" s="66">
        <v>1989</v>
      </c>
      <c r="D459" s="114">
        <v>989</v>
      </c>
      <c r="E459" s="114">
        <v>32530</v>
      </c>
      <c r="F459" s="115">
        <v>195179.5</v>
      </c>
      <c r="G459" s="20">
        <f t="shared" si="7"/>
        <v>197.35035389282103</v>
      </c>
      <c r="H459" s="20" t="s">
        <v>778</v>
      </c>
    </row>
    <row r="460" spans="1:8" x14ac:dyDescent="0.25">
      <c r="A460" s="50">
        <v>17150</v>
      </c>
      <c r="B460" s="50" t="s">
        <v>545</v>
      </c>
      <c r="C460" s="51">
        <v>2004</v>
      </c>
      <c r="D460" s="51">
        <v>1885</v>
      </c>
      <c r="E460" s="51">
        <v>280092</v>
      </c>
      <c r="F460" s="51">
        <v>1411678</v>
      </c>
      <c r="G460" s="20">
        <f t="shared" si="7"/>
        <v>748.90079575596815</v>
      </c>
      <c r="H460" s="20" t="s">
        <v>479</v>
      </c>
    </row>
    <row r="461" spans="1:8" x14ac:dyDescent="0.25">
      <c r="A461" s="67">
        <v>43129</v>
      </c>
      <c r="B461" s="67" t="s">
        <v>757</v>
      </c>
      <c r="C461" s="68">
        <v>2007</v>
      </c>
      <c r="D461" s="114">
        <v>3772</v>
      </c>
      <c r="E461" s="114">
        <v>231307</v>
      </c>
      <c r="F461" s="115">
        <v>1498872.41</v>
      </c>
      <c r="G461" s="20">
        <f t="shared" si="7"/>
        <v>397.36808324496286</v>
      </c>
      <c r="H461" s="20" t="s">
        <v>778</v>
      </c>
    </row>
    <row r="462" spans="1:8" x14ac:dyDescent="0.25">
      <c r="A462" s="53">
        <v>17151</v>
      </c>
      <c r="B462" s="53" t="s">
        <v>546</v>
      </c>
      <c r="C462" s="54">
        <v>1989</v>
      </c>
      <c r="D462" s="55">
        <v>178</v>
      </c>
      <c r="E462" s="54">
        <v>7670</v>
      </c>
      <c r="F462" s="54">
        <v>38348</v>
      </c>
      <c r="G462" s="20">
        <f t="shared" si="7"/>
        <v>215.43820224719101</v>
      </c>
      <c r="H462" s="20" t="s">
        <v>479</v>
      </c>
    </row>
    <row r="463" spans="1:8" x14ac:dyDescent="0.25">
      <c r="A463" s="57">
        <v>8181</v>
      </c>
      <c r="B463" s="57" t="s">
        <v>253</v>
      </c>
      <c r="C463" s="60">
        <v>1995</v>
      </c>
      <c r="D463" s="60">
        <v>6984</v>
      </c>
      <c r="E463" s="60">
        <v>645303</v>
      </c>
      <c r="F463" s="64">
        <v>4928913</v>
      </c>
      <c r="G463" s="20">
        <f t="shared" si="7"/>
        <v>705.74355670103091</v>
      </c>
      <c r="H463" s="20" t="s">
        <v>86</v>
      </c>
    </row>
    <row r="464" spans="1:8" x14ac:dyDescent="0.25">
      <c r="A464" s="65">
        <v>43130</v>
      </c>
      <c r="B464" s="65" t="s">
        <v>758</v>
      </c>
      <c r="C464" s="66">
        <v>1989</v>
      </c>
      <c r="D464" s="114">
        <v>310</v>
      </c>
      <c r="E464" s="114">
        <v>10694</v>
      </c>
      <c r="F464" s="115">
        <v>64166.3</v>
      </c>
      <c r="G464" s="20">
        <f t="shared" si="7"/>
        <v>206.98806451612904</v>
      </c>
      <c r="H464" s="20" t="s">
        <v>778</v>
      </c>
    </row>
    <row r="465" spans="1:8" x14ac:dyDescent="0.25">
      <c r="A465" s="67">
        <v>43131</v>
      </c>
      <c r="B465" s="67" t="s">
        <v>759</v>
      </c>
      <c r="C465" s="68">
        <v>1998</v>
      </c>
      <c r="D465" s="114">
        <v>12361</v>
      </c>
      <c r="E465" s="114">
        <v>605298</v>
      </c>
      <c r="F465" s="115">
        <v>5700088.4000000004</v>
      </c>
      <c r="G465" s="20">
        <f t="shared" si="7"/>
        <v>461.13489199902921</v>
      </c>
      <c r="H465" s="20" t="s">
        <v>778</v>
      </c>
    </row>
    <row r="466" spans="1:8" x14ac:dyDescent="0.25">
      <c r="A466" s="57">
        <v>8183</v>
      </c>
      <c r="B466" s="57" t="s">
        <v>254</v>
      </c>
      <c r="C466" s="60">
        <v>2009</v>
      </c>
      <c r="D466" s="60">
        <v>4171</v>
      </c>
      <c r="E466" s="60">
        <v>223966</v>
      </c>
      <c r="F466" s="64">
        <v>1321397</v>
      </c>
      <c r="G466" s="20">
        <f t="shared" si="7"/>
        <v>316.80580196595542</v>
      </c>
      <c r="H466" s="20" t="s">
        <v>86</v>
      </c>
    </row>
    <row r="467" spans="1:8" x14ac:dyDescent="0.25">
      <c r="A467" s="65">
        <v>43132</v>
      </c>
      <c r="B467" s="65" t="s">
        <v>760</v>
      </c>
      <c r="C467" s="66">
        <v>2013</v>
      </c>
      <c r="D467" s="114">
        <v>629</v>
      </c>
      <c r="E467" s="114">
        <v>28016</v>
      </c>
      <c r="F467" s="115">
        <v>126074.13</v>
      </c>
      <c r="G467" s="20">
        <f t="shared" si="7"/>
        <v>200.43581875993641</v>
      </c>
      <c r="H467" s="20" t="s">
        <v>778</v>
      </c>
    </row>
    <row r="468" spans="1:8" x14ac:dyDescent="0.25">
      <c r="A468" s="67">
        <v>43133</v>
      </c>
      <c r="B468" s="67" t="s">
        <v>761</v>
      </c>
      <c r="C468" s="68">
        <v>1990</v>
      </c>
      <c r="D468" s="114">
        <v>6231</v>
      </c>
      <c r="E468" s="114">
        <v>244266</v>
      </c>
      <c r="F468" s="115">
        <v>2198390.4300000002</v>
      </c>
      <c r="G468" s="20">
        <f t="shared" si="7"/>
        <v>352.81502648050076</v>
      </c>
      <c r="H468" s="20" t="s">
        <v>778</v>
      </c>
    </row>
    <row r="469" spans="1:8" x14ac:dyDescent="0.25">
      <c r="A469" s="50">
        <v>17152</v>
      </c>
      <c r="B469" s="50" t="s">
        <v>547</v>
      </c>
      <c r="C469" s="51">
        <v>2005</v>
      </c>
      <c r="D469" s="51">
        <v>34801</v>
      </c>
      <c r="E469" s="51">
        <v>2220846</v>
      </c>
      <c r="F469" s="51">
        <v>14573191</v>
      </c>
      <c r="G469" s="20">
        <f t="shared" si="7"/>
        <v>418.75782305106173</v>
      </c>
      <c r="H469" s="20" t="s">
        <v>479</v>
      </c>
    </row>
    <row r="470" spans="1:8" x14ac:dyDescent="0.25">
      <c r="A470" s="65">
        <v>43134</v>
      </c>
      <c r="B470" s="65" t="s">
        <v>762</v>
      </c>
      <c r="C470" s="66">
        <v>1990</v>
      </c>
      <c r="D470" s="114">
        <v>242</v>
      </c>
      <c r="E470" s="114">
        <v>6960</v>
      </c>
      <c r="F470" s="115">
        <v>31320.52</v>
      </c>
      <c r="G470" s="20">
        <f t="shared" si="7"/>
        <v>129.42363636363638</v>
      </c>
      <c r="H470" s="20" t="s">
        <v>778</v>
      </c>
    </row>
    <row r="471" spans="1:8" x14ac:dyDescent="0.25">
      <c r="A471" s="57">
        <v>8184</v>
      </c>
      <c r="B471" s="57" t="s">
        <v>255</v>
      </c>
      <c r="C471" s="60">
        <v>2001</v>
      </c>
      <c r="D471" s="60">
        <v>49500</v>
      </c>
      <c r="E471" s="60">
        <v>3457349</v>
      </c>
      <c r="F471" s="64">
        <v>25193755</v>
      </c>
      <c r="G471" s="20">
        <f t="shared" si="7"/>
        <v>508.96474747474747</v>
      </c>
      <c r="H471" s="20" t="s">
        <v>86</v>
      </c>
    </row>
    <row r="472" spans="1:8" x14ac:dyDescent="0.25">
      <c r="A472" s="57">
        <v>8185</v>
      </c>
      <c r="B472" s="57" t="s">
        <v>256</v>
      </c>
      <c r="C472" s="60">
        <v>1989</v>
      </c>
      <c r="D472" s="57">
        <v>138</v>
      </c>
      <c r="E472" s="60">
        <v>6836</v>
      </c>
      <c r="F472" s="64">
        <v>41701</v>
      </c>
      <c r="G472" s="20">
        <f t="shared" si="7"/>
        <v>302.18115942028987</v>
      </c>
      <c r="H472" s="20" t="s">
        <v>86</v>
      </c>
    </row>
    <row r="473" spans="1:8" x14ac:dyDescent="0.25">
      <c r="A473" s="53">
        <v>17153</v>
      </c>
      <c r="B473" s="53" t="s">
        <v>548</v>
      </c>
      <c r="C473" s="54">
        <v>1989</v>
      </c>
      <c r="D473" s="55">
        <v>237</v>
      </c>
      <c r="E473" s="54">
        <v>16060</v>
      </c>
      <c r="F473" s="54">
        <v>139561</v>
      </c>
      <c r="G473" s="20">
        <f t="shared" si="7"/>
        <v>588.86497890295357</v>
      </c>
      <c r="H473" s="20" t="s">
        <v>479</v>
      </c>
    </row>
    <row r="474" spans="1:8" x14ac:dyDescent="0.25">
      <c r="A474" s="57">
        <v>8901</v>
      </c>
      <c r="B474" s="57" t="s">
        <v>257</v>
      </c>
      <c r="C474" s="60">
        <v>1989</v>
      </c>
      <c r="D474" s="57">
        <v>398</v>
      </c>
      <c r="E474" s="60">
        <v>13301</v>
      </c>
      <c r="F474" s="64">
        <v>113057</v>
      </c>
      <c r="G474" s="20">
        <f t="shared" si="7"/>
        <v>284.06281407035175</v>
      </c>
      <c r="H474" s="20" t="s">
        <v>86</v>
      </c>
    </row>
    <row r="475" spans="1:8" x14ac:dyDescent="0.25">
      <c r="A475" s="57">
        <v>8187</v>
      </c>
      <c r="B475" s="57" t="s">
        <v>258</v>
      </c>
      <c r="C475" s="60">
        <v>2002</v>
      </c>
      <c r="D475" s="60">
        <v>127059</v>
      </c>
      <c r="E475" s="60">
        <v>9331658</v>
      </c>
      <c r="F475" s="64">
        <v>49868806</v>
      </c>
      <c r="G475" s="20">
        <f t="shared" si="7"/>
        <v>392.48542802949811</v>
      </c>
      <c r="H475" s="20" t="s">
        <v>86</v>
      </c>
    </row>
    <row r="476" spans="1:8" x14ac:dyDescent="0.25">
      <c r="A476" s="57">
        <v>8188</v>
      </c>
      <c r="B476" s="57" t="s">
        <v>259</v>
      </c>
      <c r="C476" s="60">
        <v>1988</v>
      </c>
      <c r="D476" s="57">
        <v>74</v>
      </c>
      <c r="E476" s="60">
        <v>4785</v>
      </c>
      <c r="F476" s="64">
        <v>19141</v>
      </c>
      <c r="G476" s="20">
        <f t="shared" si="7"/>
        <v>258.66216216216219</v>
      </c>
      <c r="H476" s="20" t="s">
        <v>86</v>
      </c>
    </row>
    <row r="477" spans="1:8" x14ac:dyDescent="0.25">
      <c r="A477" s="57">
        <v>8190</v>
      </c>
      <c r="B477" s="57" t="s">
        <v>260</v>
      </c>
      <c r="C477" s="60">
        <v>2013</v>
      </c>
      <c r="D477" s="57">
        <v>327</v>
      </c>
      <c r="E477" s="60">
        <v>14266</v>
      </c>
      <c r="F477" s="64">
        <v>72097</v>
      </c>
      <c r="G477" s="20">
        <f t="shared" si="7"/>
        <v>220.48012232415903</v>
      </c>
      <c r="H477" s="20" t="s">
        <v>86</v>
      </c>
    </row>
    <row r="478" spans="1:8" x14ac:dyDescent="0.25">
      <c r="A478" s="50">
        <v>17154</v>
      </c>
      <c r="B478" s="50" t="s">
        <v>549</v>
      </c>
      <c r="C478" s="51">
        <v>1989</v>
      </c>
      <c r="D478" s="52">
        <v>96</v>
      </c>
      <c r="E478" s="51">
        <v>5103</v>
      </c>
      <c r="F478" s="51">
        <v>30618</v>
      </c>
      <c r="G478" s="20">
        <f t="shared" si="7"/>
        <v>318.9375</v>
      </c>
      <c r="H478" s="20" t="s">
        <v>479</v>
      </c>
    </row>
    <row r="479" spans="1:8" x14ac:dyDescent="0.25">
      <c r="A479" s="57">
        <v>8191</v>
      </c>
      <c r="B479" s="57" t="s">
        <v>261</v>
      </c>
      <c r="C479" s="60">
        <v>2005</v>
      </c>
      <c r="D479" s="60">
        <v>5708</v>
      </c>
      <c r="E479" s="60">
        <v>513371</v>
      </c>
      <c r="F479" s="64">
        <v>3085651</v>
      </c>
      <c r="G479" s="20">
        <f t="shared" si="7"/>
        <v>540.58356692361599</v>
      </c>
      <c r="H479" s="20" t="s">
        <v>86</v>
      </c>
    </row>
    <row r="480" spans="1:8" x14ac:dyDescent="0.25">
      <c r="A480" s="67">
        <v>43135</v>
      </c>
      <c r="B480" s="67" t="s">
        <v>763</v>
      </c>
      <c r="C480" s="68">
        <v>1990</v>
      </c>
      <c r="D480" s="114">
        <v>466</v>
      </c>
      <c r="E480" s="114">
        <v>23724</v>
      </c>
      <c r="F480" s="115">
        <v>195722.29</v>
      </c>
      <c r="G480" s="20">
        <f t="shared" si="7"/>
        <v>420.00491416309012</v>
      </c>
      <c r="H480" s="20" t="s">
        <v>778</v>
      </c>
    </row>
    <row r="481" spans="1:8" x14ac:dyDescent="0.25">
      <c r="A481" s="65">
        <v>43905</v>
      </c>
      <c r="B481" s="65" t="s">
        <v>764</v>
      </c>
      <c r="C481" s="66">
        <v>1995</v>
      </c>
      <c r="D481" s="114">
        <v>52461</v>
      </c>
      <c r="E481" s="114">
        <v>2750217</v>
      </c>
      <c r="F481" s="115">
        <v>19416534</v>
      </c>
      <c r="G481" s="20">
        <f t="shared" si="7"/>
        <v>370.11368445130671</v>
      </c>
      <c r="H481" s="20" t="s">
        <v>778</v>
      </c>
    </row>
    <row r="482" spans="1:8" x14ac:dyDescent="0.25">
      <c r="A482" s="53">
        <v>17155</v>
      </c>
      <c r="B482" s="53" t="s">
        <v>550</v>
      </c>
      <c r="C482" s="54">
        <v>1990</v>
      </c>
      <c r="D482" s="54">
        <v>18532</v>
      </c>
      <c r="E482" s="54">
        <v>780458</v>
      </c>
      <c r="F482" s="54">
        <v>6665111</v>
      </c>
      <c r="G482" s="20">
        <f t="shared" si="7"/>
        <v>359.65416576732139</v>
      </c>
      <c r="H482" s="20" t="s">
        <v>479</v>
      </c>
    </row>
    <row r="483" spans="1:8" x14ac:dyDescent="0.25">
      <c r="A483" s="57">
        <v>8194</v>
      </c>
      <c r="B483" s="57" t="s">
        <v>262</v>
      </c>
      <c r="C483" s="60">
        <v>2013</v>
      </c>
      <c r="D483" s="60">
        <v>21411</v>
      </c>
      <c r="E483" s="60">
        <v>1680930</v>
      </c>
      <c r="F483" s="64">
        <v>8686220</v>
      </c>
      <c r="G483" s="20">
        <f t="shared" si="7"/>
        <v>405.6895988043529</v>
      </c>
      <c r="H483" s="20" t="s">
        <v>86</v>
      </c>
    </row>
    <row r="484" spans="1:8" x14ac:dyDescent="0.25">
      <c r="A484" s="57">
        <v>8195</v>
      </c>
      <c r="B484" s="57" t="s">
        <v>263</v>
      </c>
      <c r="C484" s="60">
        <v>1989</v>
      </c>
      <c r="D484" s="57">
        <v>88</v>
      </c>
      <c r="E484" s="60">
        <v>3761</v>
      </c>
      <c r="F484" s="64">
        <v>28207</v>
      </c>
      <c r="G484" s="20">
        <f t="shared" si="7"/>
        <v>320.53409090909093</v>
      </c>
      <c r="H484" s="20" t="s">
        <v>86</v>
      </c>
    </row>
    <row r="485" spans="1:8" x14ac:dyDescent="0.25">
      <c r="A485" s="57">
        <v>8196</v>
      </c>
      <c r="B485" s="57" t="s">
        <v>264</v>
      </c>
      <c r="C485" s="60">
        <v>1996</v>
      </c>
      <c r="D485" s="60">
        <v>15488</v>
      </c>
      <c r="E485" s="60">
        <v>870096</v>
      </c>
      <c r="F485" s="64">
        <v>6203785</v>
      </c>
      <c r="G485" s="20">
        <f t="shared" si="7"/>
        <v>400.55430010330576</v>
      </c>
      <c r="H485" s="20" t="s">
        <v>86</v>
      </c>
    </row>
    <row r="486" spans="1:8" x14ac:dyDescent="0.25">
      <c r="A486" s="57">
        <v>8197</v>
      </c>
      <c r="B486" s="57" t="s">
        <v>265</v>
      </c>
      <c r="C486" s="60">
        <v>2013</v>
      </c>
      <c r="D486" s="60">
        <v>7667</v>
      </c>
      <c r="E486" s="60">
        <v>821991</v>
      </c>
      <c r="F486" s="64">
        <v>3710112</v>
      </c>
      <c r="G486" s="20">
        <f t="shared" si="7"/>
        <v>483.90661275596716</v>
      </c>
      <c r="H486" s="20" t="s">
        <v>86</v>
      </c>
    </row>
    <row r="487" spans="1:8" x14ac:dyDescent="0.25">
      <c r="A487" s="50">
        <v>17157</v>
      </c>
      <c r="B487" s="50" t="s">
        <v>551</v>
      </c>
      <c r="C487" s="51">
        <v>1990</v>
      </c>
      <c r="D487" s="52">
        <v>92</v>
      </c>
      <c r="E487" s="51">
        <v>3986</v>
      </c>
      <c r="F487" s="51">
        <v>15943</v>
      </c>
      <c r="G487" s="20">
        <f t="shared" si="7"/>
        <v>173.29347826086956</v>
      </c>
      <c r="H487" s="20" t="s">
        <v>479</v>
      </c>
    </row>
    <row r="488" spans="1:8" x14ac:dyDescent="0.25">
      <c r="A488" s="53">
        <v>17183</v>
      </c>
      <c r="B488" s="53" t="s">
        <v>552</v>
      </c>
      <c r="C488" s="54">
        <v>1990</v>
      </c>
      <c r="D488" s="55">
        <v>296</v>
      </c>
      <c r="E488" s="54">
        <v>21664</v>
      </c>
      <c r="F488" s="54">
        <v>140814</v>
      </c>
      <c r="G488" s="20">
        <f t="shared" si="7"/>
        <v>475.72297297297297</v>
      </c>
      <c r="H488" s="20" t="s">
        <v>479</v>
      </c>
    </row>
    <row r="489" spans="1:8" x14ac:dyDescent="0.25">
      <c r="A489" s="57">
        <v>8198</v>
      </c>
      <c r="B489" s="57" t="s">
        <v>266</v>
      </c>
      <c r="C489" s="60">
        <v>1987</v>
      </c>
      <c r="D489" s="60">
        <v>3875</v>
      </c>
      <c r="E489" s="60">
        <v>244969</v>
      </c>
      <c r="F489" s="64">
        <v>2180226</v>
      </c>
      <c r="G489" s="20">
        <f t="shared" si="7"/>
        <v>562.63896774193552</v>
      </c>
      <c r="H489" s="20" t="s">
        <v>86</v>
      </c>
    </row>
    <row r="490" spans="1:8" x14ac:dyDescent="0.25">
      <c r="A490" s="57">
        <v>8199</v>
      </c>
      <c r="B490" s="57" t="s">
        <v>267</v>
      </c>
      <c r="C490" s="60">
        <v>1989</v>
      </c>
      <c r="D490" s="57">
        <v>535</v>
      </c>
      <c r="E490" s="60">
        <v>31667</v>
      </c>
      <c r="F490" s="64">
        <v>275501</v>
      </c>
      <c r="G490" s="20">
        <f t="shared" si="7"/>
        <v>514.95514018691586</v>
      </c>
      <c r="H490" s="20" t="s">
        <v>86</v>
      </c>
    </row>
    <row r="491" spans="1:8" x14ac:dyDescent="0.25">
      <c r="A491" s="57">
        <v>8200</v>
      </c>
      <c r="B491" s="57" t="s">
        <v>268</v>
      </c>
      <c r="C491" s="60">
        <v>2006</v>
      </c>
      <c r="D491" s="60">
        <v>54693</v>
      </c>
      <c r="E491" s="60">
        <v>3806792</v>
      </c>
      <c r="F491" s="64">
        <v>24946194</v>
      </c>
      <c r="G491" s="20">
        <f t="shared" si="7"/>
        <v>456.11310405353521</v>
      </c>
      <c r="H491" s="20" t="s">
        <v>86</v>
      </c>
    </row>
    <row r="492" spans="1:8" x14ac:dyDescent="0.25">
      <c r="A492" s="57">
        <v>8201</v>
      </c>
      <c r="B492" s="57" t="s">
        <v>269</v>
      </c>
      <c r="C492" s="60">
        <v>1989</v>
      </c>
      <c r="D492" s="57">
        <v>515</v>
      </c>
      <c r="E492" s="60">
        <v>20551</v>
      </c>
      <c r="F492" s="64">
        <v>172631</v>
      </c>
      <c r="G492" s="20">
        <f t="shared" si="7"/>
        <v>335.20582524271845</v>
      </c>
      <c r="H492" s="20" t="s">
        <v>86</v>
      </c>
    </row>
    <row r="493" spans="1:8" x14ac:dyDescent="0.25">
      <c r="A493" s="67">
        <v>43136</v>
      </c>
      <c r="B493" s="67" t="s">
        <v>765</v>
      </c>
      <c r="C493" s="68">
        <v>2008</v>
      </c>
      <c r="D493" s="114">
        <v>19653</v>
      </c>
      <c r="E493" s="114">
        <v>793817</v>
      </c>
      <c r="F493" s="115">
        <v>4564446.7</v>
      </c>
      <c r="G493" s="20">
        <f t="shared" si="7"/>
        <v>232.2519055614919</v>
      </c>
      <c r="H493" s="20" t="s">
        <v>778</v>
      </c>
    </row>
    <row r="494" spans="1:8" x14ac:dyDescent="0.25">
      <c r="A494" s="57">
        <v>8203</v>
      </c>
      <c r="B494" s="57" t="s">
        <v>270</v>
      </c>
      <c r="C494" s="60">
        <v>2005</v>
      </c>
      <c r="D494" s="60">
        <v>3121</v>
      </c>
      <c r="E494" s="60">
        <v>233489</v>
      </c>
      <c r="F494" s="64">
        <v>1972985</v>
      </c>
      <c r="G494" s="20">
        <f t="shared" si="7"/>
        <v>632.16437039410448</v>
      </c>
      <c r="H494" s="20" t="s">
        <v>86</v>
      </c>
    </row>
    <row r="495" spans="1:8" x14ac:dyDescent="0.25">
      <c r="A495" s="57">
        <v>8202</v>
      </c>
      <c r="B495" s="57" t="s">
        <v>271</v>
      </c>
      <c r="C495" s="60">
        <v>1997</v>
      </c>
      <c r="D495" s="60">
        <v>11224</v>
      </c>
      <c r="E495" s="60">
        <v>687700</v>
      </c>
      <c r="F495" s="64">
        <v>5621614</v>
      </c>
      <c r="G495" s="20">
        <f t="shared" si="7"/>
        <v>500.85655737704917</v>
      </c>
      <c r="H495" s="20" t="s">
        <v>86</v>
      </c>
    </row>
    <row r="496" spans="1:8" x14ac:dyDescent="0.25">
      <c r="A496" s="57">
        <v>8204</v>
      </c>
      <c r="B496" s="57" t="s">
        <v>272</v>
      </c>
      <c r="C496" s="60">
        <v>2006</v>
      </c>
      <c r="D496" s="60">
        <v>2483</v>
      </c>
      <c r="E496" s="60">
        <v>212432</v>
      </c>
      <c r="F496" s="64">
        <v>1588991</v>
      </c>
      <c r="G496" s="20">
        <f t="shared" si="7"/>
        <v>639.9480467176802</v>
      </c>
      <c r="H496" s="20" t="s">
        <v>86</v>
      </c>
    </row>
    <row r="497" spans="1:8" x14ac:dyDescent="0.25">
      <c r="A497" s="50">
        <v>17158</v>
      </c>
      <c r="B497" s="50" t="s">
        <v>553</v>
      </c>
      <c r="C497" s="51">
        <v>1989</v>
      </c>
      <c r="D497" s="52">
        <v>427</v>
      </c>
      <c r="E497" s="51">
        <v>41153</v>
      </c>
      <c r="F497" s="51">
        <v>271610</v>
      </c>
      <c r="G497" s="20">
        <f t="shared" si="7"/>
        <v>636.08899297423886</v>
      </c>
      <c r="H497" s="20" t="s">
        <v>479</v>
      </c>
    </row>
    <row r="498" spans="1:8" x14ac:dyDescent="0.25">
      <c r="A498" s="57">
        <v>8205</v>
      </c>
      <c r="B498" s="57" t="s">
        <v>273</v>
      </c>
      <c r="C498" s="60">
        <v>2006</v>
      </c>
      <c r="D498" s="60">
        <v>60240</v>
      </c>
      <c r="E498" s="60">
        <v>8172874</v>
      </c>
      <c r="F498" s="64">
        <v>47337312</v>
      </c>
      <c r="G498" s="20">
        <f t="shared" si="7"/>
        <v>785.81195219123504</v>
      </c>
      <c r="H498" s="20" t="s">
        <v>86</v>
      </c>
    </row>
    <row r="499" spans="1:8" x14ac:dyDescent="0.25">
      <c r="A499" s="57">
        <v>8206</v>
      </c>
      <c r="B499" s="57" t="s">
        <v>274</v>
      </c>
      <c r="C499" s="60">
        <v>2008</v>
      </c>
      <c r="D499" s="57">
        <v>647</v>
      </c>
      <c r="E499" s="60">
        <v>60502</v>
      </c>
      <c r="F499" s="64">
        <v>242009</v>
      </c>
      <c r="G499" s="20">
        <f t="shared" si="7"/>
        <v>374.04791344667694</v>
      </c>
      <c r="H499" s="20" t="s">
        <v>86</v>
      </c>
    </row>
    <row r="500" spans="1:8" x14ac:dyDescent="0.25">
      <c r="A500" s="57">
        <v>8207</v>
      </c>
      <c r="B500" s="57" t="s">
        <v>275</v>
      </c>
      <c r="C500" s="60">
        <v>2013</v>
      </c>
      <c r="D500" s="60">
        <v>1480</v>
      </c>
      <c r="E500" s="60">
        <v>156223</v>
      </c>
      <c r="F500" s="64">
        <v>828243</v>
      </c>
      <c r="G500" s="20">
        <f t="shared" si="7"/>
        <v>559.62364864864867</v>
      </c>
      <c r="H500" s="20" t="s">
        <v>86</v>
      </c>
    </row>
    <row r="501" spans="1:8" x14ac:dyDescent="0.25">
      <c r="A501" s="57">
        <v>8208</v>
      </c>
      <c r="B501" s="57" t="s">
        <v>276</v>
      </c>
      <c r="C501" s="60">
        <v>1997</v>
      </c>
      <c r="D501" s="60">
        <v>5192</v>
      </c>
      <c r="E501" s="60">
        <v>792330</v>
      </c>
      <c r="F501" s="64">
        <v>5649311</v>
      </c>
      <c r="G501" s="20">
        <f t="shared" si="7"/>
        <v>1088.0799306625577</v>
      </c>
      <c r="H501" s="20" t="s">
        <v>86</v>
      </c>
    </row>
    <row r="502" spans="1:8" x14ac:dyDescent="0.25">
      <c r="A502" s="53">
        <v>17159</v>
      </c>
      <c r="B502" s="53" t="s">
        <v>554</v>
      </c>
      <c r="C502" s="54">
        <v>1990</v>
      </c>
      <c r="D502" s="55">
        <v>956</v>
      </c>
      <c r="E502" s="54">
        <v>73433</v>
      </c>
      <c r="F502" s="54">
        <v>587466</v>
      </c>
      <c r="G502" s="20">
        <f t="shared" si="7"/>
        <v>614.50418410041846</v>
      </c>
      <c r="H502" s="20" t="s">
        <v>479</v>
      </c>
    </row>
    <row r="503" spans="1:8" x14ac:dyDescent="0.25">
      <c r="A503" s="57">
        <v>8210</v>
      </c>
      <c r="B503" s="57" t="s">
        <v>277</v>
      </c>
      <c r="C503" s="60">
        <v>2013</v>
      </c>
      <c r="D503" s="60">
        <v>4113</v>
      </c>
      <c r="E503" s="60">
        <v>266956</v>
      </c>
      <c r="F503" s="64">
        <v>1275114</v>
      </c>
      <c r="G503" s="20">
        <f t="shared" si="7"/>
        <v>310.02042304886942</v>
      </c>
      <c r="H503" s="20" t="s">
        <v>86</v>
      </c>
    </row>
    <row r="504" spans="1:8" x14ac:dyDescent="0.25">
      <c r="A504" s="50">
        <v>17160</v>
      </c>
      <c r="B504" s="50" t="s">
        <v>555</v>
      </c>
      <c r="C504" s="51">
        <v>1990</v>
      </c>
      <c r="D504" s="51">
        <v>24240</v>
      </c>
      <c r="E504" s="51">
        <v>1092633</v>
      </c>
      <c r="F504" s="51">
        <v>10816723</v>
      </c>
      <c r="G504" s="20">
        <f t="shared" si="7"/>
        <v>446.23444719471945</v>
      </c>
      <c r="H504" s="20" t="s">
        <v>479</v>
      </c>
    </row>
    <row r="505" spans="1:8" x14ac:dyDescent="0.25">
      <c r="A505" s="57">
        <v>8211</v>
      </c>
      <c r="B505" s="57" t="s">
        <v>278</v>
      </c>
      <c r="C505" s="60">
        <v>2006</v>
      </c>
      <c r="D505" s="60">
        <v>32124</v>
      </c>
      <c r="E505" s="60">
        <v>2119894</v>
      </c>
      <c r="F505" s="64">
        <v>13969196</v>
      </c>
      <c r="G505" s="20">
        <f t="shared" si="7"/>
        <v>434.85232225127629</v>
      </c>
      <c r="H505" s="20" t="s">
        <v>86</v>
      </c>
    </row>
    <row r="506" spans="1:8" x14ac:dyDescent="0.25">
      <c r="A506" s="53">
        <v>17161</v>
      </c>
      <c r="B506" s="53" t="s">
        <v>556</v>
      </c>
      <c r="C506" s="54">
        <v>2000</v>
      </c>
      <c r="D506" s="54">
        <v>1140</v>
      </c>
      <c r="E506" s="54">
        <v>51966</v>
      </c>
      <c r="F506" s="54">
        <v>384546</v>
      </c>
      <c r="G506" s="20">
        <f t="shared" si="7"/>
        <v>337.32105263157894</v>
      </c>
      <c r="H506" s="20" t="s">
        <v>479</v>
      </c>
    </row>
    <row r="507" spans="1:8" x14ac:dyDescent="0.25">
      <c r="A507" s="57">
        <v>8212</v>
      </c>
      <c r="B507" s="57" t="s">
        <v>279</v>
      </c>
      <c r="C507" s="60">
        <v>1989</v>
      </c>
      <c r="D507" s="57">
        <v>556</v>
      </c>
      <c r="E507" s="60">
        <v>24126</v>
      </c>
      <c r="F507" s="64">
        <v>154889</v>
      </c>
      <c r="G507" s="20">
        <f t="shared" si="7"/>
        <v>278.57733812949641</v>
      </c>
      <c r="H507" s="20" t="s">
        <v>86</v>
      </c>
    </row>
    <row r="508" spans="1:8" x14ac:dyDescent="0.25">
      <c r="A508" s="50">
        <v>17162</v>
      </c>
      <c r="B508" s="50" t="s">
        <v>557</v>
      </c>
      <c r="C508" s="51">
        <v>1989</v>
      </c>
      <c r="D508" s="52">
        <v>160</v>
      </c>
      <c r="E508" s="51">
        <v>20454</v>
      </c>
      <c r="F508" s="51">
        <v>102269</v>
      </c>
      <c r="G508" s="20">
        <f t="shared" si="7"/>
        <v>639.18124999999998</v>
      </c>
      <c r="H508" s="20" t="s">
        <v>479</v>
      </c>
    </row>
    <row r="509" spans="1:8" x14ac:dyDescent="0.25">
      <c r="A509" s="57">
        <v>8209</v>
      </c>
      <c r="B509" s="57" t="s">
        <v>280</v>
      </c>
      <c r="C509" s="60">
        <v>2005</v>
      </c>
      <c r="D509" s="60">
        <v>4143</v>
      </c>
      <c r="E509" s="60">
        <v>493804</v>
      </c>
      <c r="F509" s="64">
        <v>3238486</v>
      </c>
      <c r="G509" s="20">
        <f t="shared" si="7"/>
        <v>781.67656287714215</v>
      </c>
      <c r="H509" s="20" t="s">
        <v>86</v>
      </c>
    </row>
    <row r="510" spans="1:8" x14ac:dyDescent="0.25">
      <c r="A510" s="57">
        <v>8213</v>
      </c>
      <c r="B510" s="57" t="s">
        <v>281</v>
      </c>
      <c r="C510" s="60">
        <v>2005</v>
      </c>
      <c r="D510" s="60">
        <v>6495</v>
      </c>
      <c r="E510" s="60">
        <v>631524</v>
      </c>
      <c r="F510" s="64">
        <v>3398424</v>
      </c>
      <c r="G510" s="20">
        <f t="shared" si="7"/>
        <v>523.23695150115475</v>
      </c>
      <c r="H510" s="20" t="s">
        <v>86</v>
      </c>
    </row>
    <row r="511" spans="1:8" x14ac:dyDescent="0.25">
      <c r="A511" s="53">
        <v>17163</v>
      </c>
      <c r="B511" s="53" t="s">
        <v>558</v>
      </c>
      <c r="C511" s="54">
        <v>1989</v>
      </c>
      <c r="D511" s="54">
        <v>2098</v>
      </c>
      <c r="E511" s="54">
        <v>136505</v>
      </c>
      <c r="F511" s="54">
        <v>891380</v>
      </c>
      <c r="G511" s="20">
        <f t="shared" si="7"/>
        <v>424.87130600571976</v>
      </c>
      <c r="H511" s="20" t="s">
        <v>479</v>
      </c>
    </row>
    <row r="512" spans="1:8" x14ac:dyDescent="0.25">
      <c r="A512" s="50">
        <v>17164</v>
      </c>
      <c r="B512" s="50" t="s">
        <v>559</v>
      </c>
      <c r="C512" s="51">
        <v>1988</v>
      </c>
      <c r="D512" s="51">
        <v>4532</v>
      </c>
      <c r="E512" s="51">
        <v>145697</v>
      </c>
      <c r="F512" s="51">
        <v>1571774</v>
      </c>
      <c r="G512" s="20">
        <f t="shared" si="7"/>
        <v>346.81685789938217</v>
      </c>
      <c r="H512" s="20" t="s">
        <v>479</v>
      </c>
    </row>
    <row r="513" spans="1:8" x14ac:dyDescent="0.25">
      <c r="A513" s="57">
        <v>8215</v>
      </c>
      <c r="B513" s="57" t="s">
        <v>282</v>
      </c>
      <c r="C513" s="60">
        <v>2012</v>
      </c>
      <c r="D513" s="60">
        <v>2713</v>
      </c>
      <c r="E513" s="60">
        <v>127197</v>
      </c>
      <c r="F513" s="64">
        <v>817822</v>
      </c>
      <c r="G513" s="20">
        <f t="shared" si="7"/>
        <v>301.44563214154073</v>
      </c>
      <c r="H513" s="20" t="s">
        <v>86</v>
      </c>
    </row>
    <row r="514" spans="1:8" x14ac:dyDescent="0.25">
      <c r="A514" s="57">
        <v>8193</v>
      </c>
      <c r="B514" s="57" t="s">
        <v>283</v>
      </c>
      <c r="C514" s="60">
        <v>2004</v>
      </c>
      <c r="D514" s="57">
        <v>936</v>
      </c>
      <c r="E514" s="60">
        <v>66170</v>
      </c>
      <c r="F514" s="64">
        <v>681550</v>
      </c>
      <c r="G514" s="20">
        <f t="shared" ref="G514:G577" si="8">F514/D514</f>
        <v>728.15170940170935</v>
      </c>
      <c r="H514" s="20" t="s">
        <v>86</v>
      </c>
    </row>
    <row r="515" spans="1:8" x14ac:dyDescent="0.25">
      <c r="A515" s="57">
        <v>8216</v>
      </c>
      <c r="B515" s="57" t="s">
        <v>284</v>
      </c>
      <c r="C515" s="60">
        <v>2009</v>
      </c>
      <c r="D515" s="57">
        <v>31</v>
      </c>
      <c r="E515" s="57">
        <v>945</v>
      </c>
      <c r="F515" s="64">
        <v>6618</v>
      </c>
      <c r="G515" s="20">
        <f t="shared" si="8"/>
        <v>213.48387096774192</v>
      </c>
      <c r="H515" s="20" t="s">
        <v>86</v>
      </c>
    </row>
    <row r="516" spans="1:8" x14ac:dyDescent="0.25">
      <c r="A516" s="53">
        <v>17165</v>
      </c>
      <c r="B516" s="53" t="s">
        <v>560</v>
      </c>
      <c r="C516" s="54">
        <v>1987</v>
      </c>
      <c r="D516" s="55">
        <v>693</v>
      </c>
      <c r="E516" s="54">
        <v>73698</v>
      </c>
      <c r="F516" s="54">
        <v>339008</v>
      </c>
      <c r="G516" s="20">
        <f t="shared" si="8"/>
        <v>489.18903318903318</v>
      </c>
      <c r="H516" s="20" t="s">
        <v>479</v>
      </c>
    </row>
    <row r="517" spans="1:8" x14ac:dyDescent="0.25">
      <c r="A517" s="65">
        <v>43137</v>
      </c>
      <c r="B517" s="65" t="s">
        <v>766</v>
      </c>
      <c r="C517" s="66">
        <v>1996</v>
      </c>
      <c r="D517" s="114">
        <v>2608</v>
      </c>
      <c r="E517" s="114">
        <v>131873</v>
      </c>
      <c r="F517" s="115">
        <v>1039158.83</v>
      </c>
      <c r="G517" s="20">
        <f t="shared" si="8"/>
        <v>398.45047162576685</v>
      </c>
      <c r="H517" s="20" t="s">
        <v>778</v>
      </c>
    </row>
    <row r="518" spans="1:8" x14ac:dyDescent="0.25">
      <c r="A518" s="67">
        <v>43902</v>
      </c>
      <c r="B518" s="67" t="s">
        <v>767</v>
      </c>
      <c r="C518" s="68">
        <v>1986</v>
      </c>
      <c r="D518" s="114">
        <v>3973</v>
      </c>
      <c r="E518" s="114">
        <v>99883</v>
      </c>
      <c r="F518" s="115">
        <v>849005.49</v>
      </c>
      <c r="G518" s="20">
        <f t="shared" si="8"/>
        <v>213.69380568839668</v>
      </c>
      <c r="H518" s="20" t="s">
        <v>778</v>
      </c>
    </row>
    <row r="519" spans="1:8" x14ac:dyDescent="0.25">
      <c r="A519" s="50">
        <v>17167</v>
      </c>
      <c r="B519" s="50" t="s">
        <v>561</v>
      </c>
      <c r="C519" s="51">
        <v>2007</v>
      </c>
      <c r="D519" s="51">
        <v>2708</v>
      </c>
      <c r="E519" s="51">
        <v>161231</v>
      </c>
      <c r="F519" s="51">
        <v>1322092</v>
      </c>
      <c r="G519" s="20">
        <f t="shared" si="8"/>
        <v>488.21713441654356</v>
      </c>
      <c r="H519" s="20" t="s">
        <v>479</v>
      </c>
    </row>
    <row r="520" spans="1:8" x14ac:dyDescent="0.25">
      <c r="A520" s="53">
        <v>17168</v>
      </c>
      <c r="B520" s="53" t="s">
        <v>562</v>
      </c>
      <c r="C520" s="54">
        <v>1989</v>
      </c>
      <c r="D520" s="55">
        <v>301</v>
      </c>
      <c r="E520" s="54">
        <v>14499</v>
      </c>
      <c r="F520" s="54">
        <v>72496</v>
      </c>
      <c r="G520" s="20">
        <f t="shared" si="8"/>
        <v>240.85049833887044</v>
      </c>
      <c r="H520" s="20" t="s">
        <v>479</v>
      </c>
    </row>
    <row r="521" spans="1:8" x14ac:dyDescent="0.25">
      <c r="A521" s="57">
        <v>8218</v>
      </c>
      <c r="B521" s="57" t="s">
        <v>285</v>
      </c>
      <c r="C521" s="60">
        <v>2005</v>
      </c>
      <c r="D521" s="60">
        <v>6726</v>
      </c>
      <c r="E521" s="60">
        <v>423143</v>
      </c>
      <c r="F521" s="64">
        <v>2636182</v>
      </c>
      <c r="G521" s="20">
        <f t="shared" si="8"/>
        <v>391.93904252155812</v>
      </c>
      <c r="H521" s="20" t="s">
        <v>86</v>
      </c>
    </row>
    <row r="522" spans="1:8" x14ac:dyDescent="0.25">
      <c r="A522" s="57">
        <v>8217</v>
      </c>
      <c r="B522" s="57" t="s">
        <v>286</v>
      </c>
      <c r="C522" s="60">
        <v>2006</v>
      </c>
      <c r="D522" s="60">
        <v>22241</v>
      </c>
      <c r="E522" s="60">
        <v>2278507</v>
      </c>
      <c r="F522" s="64">
        <v>11820054</v>
      </c>
      <c r="G522" s="20">
        <f t="shared" si="8"/>
        <v>531.45335191762956</v>
      </c>
      <c r="H522" s="20" t="s">
        <v>86</v>
      </c>
    </row>
    <row r="523" spans="1:8" x14ac:dyDescent="0.25">
      <c r="A523" s="50">
        <v>17185</v>
      </c>
      <c r="B523" s="50" t="s">
        <v>563</v>
      </c>
      <c r="C523" s="51">
        <v>1996</v>
      </c>
      <c r="D523" s="51">
        <v>2444</v>
      </c>
      <c r="E523" s="51">
        <v>167439</v>
      </c>
      <c r="F523" s="51">
        <v>1406489</v>
      </c>
      <c r="G523" s="20">
        <f t="shared" si="8"/>
        <v>575.48649754500821</v>
      </c>
      <c r="H523" s="20" t="s">
        <v>479</v>
      </c>
    </row>
    <row r="524" spans="1:8" x14ac:dyDescent="0.25">
      <c r="A524" s="53">
        <v>17166</v>
      </c>
      <c r="B524" s="53" t="s">
        <v>564</v>
      </c>
      <c r="C524" s="54">
        <v>1989</v>
      </c>
      <c r="D524" s="55">
        <v>634</v>
      </c>
      <c r="E524" s="54">
        <v>26918</v>
      </c>
      <c r="F524" s="54">
        <v>207268</v>
      </c>
      <c r="G524" s="20">
        <f t="shared" si="8"/>
        <v>326.92113564668767</v>
      </c>
      <c r="H524" s="20" t="s">
        <v>479</v>
      </c>
    </row>
    <row r="525" spans="1:8" x14ac:dyDescent="0.25">
      <c r="A525" s="57">
        <v>8903</v>
      </c>
      <c r="B525" s="57" t="s">
        <v>287</v>
      </c>
      <c r="C525" s="60">
        <v>1986</v>
      </c>
      <c r="D525" s="57">
        <v>317</v>
      </c>
      <c r="E525" s="60">
        <v>15783</v>
      </c>
      <c r="F525" s="64">
        <v>93751</v>
      </c>
      <c r="G525" s="20">
        <f t="shared" si="8"/>
        <v>295.74447949526814</v>
      </c>
      <c r="H525" s="20" t="s">
        <v>86</v>
      </c>
    </row>
    <row r="526" spans="1:8" x14ac:dyDescent="0.25">
      <c r="A526" s="50">
        <v>17169</v>
      </c>
      <c r="B526" s="50" t="s">
        <v>565</v>
      </c>
      <c r="C526" s="51">
        <v>1990</v>
      </c>
      <c r="D526" s="51">
        <v>2226</v>
      </c>
      <c r="E526" s="51">
        <v>93898</v>
      </c>
      <c r="F526" s="51">
        <v>826298</v>
      </c>
      <c r="G526" s="20">
        <f t="shared" si="8"/>
        <v>371.20305480682839</v>
      </c>
      <c r="H526" s="20" t="s">
        <v>479</v>
      </c>
    </row>
    <row r="527" spans="1:8" x14ac:dyDescent="0.25">
      <c r="A527" s="57">
        <v>8220</v>
      </c>
      <c r="B527" s="57" t="s">
        <v>288</v>
      </c>
      <c r="C527" s="60">
        <v>2000</v>
      </c>
      <c r="D527" s="60">
        <v>1952</v>
      </c>
      <c r="E527" s="60">
        <v>136422</v>
      </c>
      <c r="F527" s="64">
        <v>826720</v>
      </c>
      <c r="G527" s="20">
        <f t="shared" si="8"/>
        <v>423.52459016393442</v>
      </c>
      <c r="H527" s="20" t="s">
        <v>86</v>
      </c>
    </row>
    <row r="528" spans="1:8" x14ac:dyDescent="0.25">
      <c r="A528" s="53">
        <v>17903</v>
      </c>
      <c r="B528" s="53" t="s">
        <v>566</v>
      </c>
      <c r="C528" s="54">
        <v>2005</v>
      </c>
      <c r="D528" s="55">
        <v>948</v>
      </c>
      <c r="E528" s="54">
        <v>64645</v>
      </c>
      <c r="F528" s="54">
        <v>465402</v>
      </c>
      <c r="G528" s="20">
        <f t="shared" si="8"/>
        <v>490.93037974683546</v>
      </c>
      <c r="H528" s="20" t="s">
        <v>479</v>
      </c>
    </row>
    <row r="529" spans="1:8" x14ac:dyDescent="0.25">
      <c r="A529" s="57">
        <v>8221</v>
      </c>
      <c r="B529" s="57" t="s">
        <v>289</v>
      </c>
      <c r="C529" s="60">
        <v>1996</v>
      </c>
      <c r="D529" s="60">
        <v>11609</v>
      </c>
      <c r="E529" s="60">
        <v>1346415</v>
      </c>
      <c r="F529" s="64">
        <v>8674111</v>
      </c>
      <c r="G529" s="20">
        <f t="shared" si="8"/>
        <v>747.18847445947108</v>
      </c>
      <c r="H529" s="20" t="s">
        <v>86</v>
      </c>
    </row>
    <row r="530" spans="1:8" x14ac:dyDescent="0.25">
      <c r="A530" s="50">
        <v>17171</v>
      </c>
      <c r="B530" s="50" t="s">
        <v>567</v>
      </c>
      <c r="C530" s="51">
        <v>1989</v>
      </c>
      <c r="D530" s="52">
        <v>388</v>
      </c>
      <c r="E530" s="51">
        <v>16228</v>
      </c>
      <c r="F530" s="51">
        <v>113597</v>
      </c>
      <c r="G530" s="20">
        <f t="shared" si="8"/>
        <v>292.7757731958763</v>
      </c>
      <c r="H530" s="20" t="s">
        <v>479</v>
      </c>
    </row>
    <row r="531" spans="1:8" x14ac:dyDescent="0.25">
      <c r="A531" s="57">
        <v>8222</v>
      </c>
      <c r="B531" s="57" t="s">
        <v>290</v>
      </c>
      <c r="C531" s="60">
        <v>1997</v>
      </c>
      <c r="D531" s="60">
        <v>2114</v>
      </c>
      <c r="E531" s="60">
        <v>153352</v>
      </c>
      <c r="F531" s="64">
        <v>866437</v>
      </c>
      <c r="G531" s="20">
        <f t="shared" si="8"/>
        <v>409.856669820246</v>
      </c>
      <c r="H531" s="20" t="s">
        <v>86</v>
      </c>
    </row>
    <row r="532" spans="1:8" x14ac:dyDescent="0.25">
      <c r="A532" s="57">
        <v>8223</v>
      </c>
      <c r="B532" s="57" t="s">
        <v>291</v>
      </c>
      <c r="C532" s="60">
        <v>2005</v>
      </c>
      <c r="D532" s="60">
        <v>1967</v>
      </c>
      <c r="E532" s="60">
        <v>132099</v>
      </c>
      <c r="F532" s="64">
        <v>861284</v>
      </c>
      <c r="G532" s="20">
        <f t="shared" si="8"/>
        <v>437.866802236909</v>
      </c>
      <c r="H532" s="20" t="s">
        <v>86</v>
      </c>
    </row>
    <row r="533" spans="1:8" x14ac:dyDescent="0.25">
      <c r="A533" s="57">
        <v>8225</v>
      </c>
      <c r="B533" s="57" t="s">
        <v>292</v>
      </c>
      <c r="C533" s="60">
        <v>1988</v>
      </c>
      <c r="D533" s="57">
        <v>98</v>
      </c>
      <c r="E533" s="60">
        <v>4544</v>
      </c>
      <c r="F533" s="64">
        <v>30446</v>
      </c>
      <c r="G533" s="20">
        <f t="shared" si="8"/>
        <v>310.67346938775512</v>
      </c>
      <c r="H533" s="20" t="s">
        <v>86</v>
      </c>
    </row>
    <row r="534" spans="1:8" x14ac:dyDescent="0.25">
      <c r="A534" s="57">
        <v>8224</v>
      </c>
      <c r="B534" s="57" t="s">
        <v>293</v>
      </c>
      <c r="C534" s="60">
        <v>2012</v>
      </c>
      <c r="D534" s="60">
        <v>1052</v>
      </c>
      <c r="E534" s="60">
        <v>51548</v>
      </c>
      <c r="F534" s="64">
        <v>279718</v>
      </c>
      <c r="G534" s="20">
        <f t="shared" si="8"/>
        <v>265.89163498098861</v>
      </c>
      <c r="H534" s="20" t="s">
        <v>86</v>
      </c>
    </row>
    <row r="535" spans="1:8" x14ac:dyDescent="0.25">
      <c r="A535" s="53">
        <v>17172</v>
      </c>
      <c r="B535" s="53" t="s">
        <v>568</v>
      </c>
      <c r="C535" s="54">
        <v>1990</v>
      </c>
      <c r="D535" s="55">
        <v>597</v>
      </c>
      <c r="E535" s="54">
        <v>21876</v>
      </c>
      <c r="F535" s="54">
        <v>177196</v>
      </c>
      <c r="G535" s="20">
        <f t="shared" si="8"/>
        <v>296.81072026800672</v>
      </c>
      <c r="H535" s="20" t="s">
        <v>479</v>
      </c>
    </row>
    <row r="536" spans="1:8" x14ac:dyDescent="0.25">
      <c r="A536" s="57">
        <v>8226</v>
      </c>
      <c r="B536" s="57" t="s">
        <v>294</v>
      </c>
      <c r="C536" s="60">
        <v>2005</v>
      </c>
      <c r="D536" s="57">
        <v>817</v>
      </c>
      <c r="E536" s="60">
        <v>63139</v>
      </c>
      <c r="F536" s="64">
        <v>372520</v>
      </c>
      <c r="G536" s="20">
        <f t="shared" si="8"/>
        <v>455.96083231334148</v>
      </c>
      <c r="H536" s="20" t="s">
        <v>86</v>
      </c>
    </row>
    <row r="537" spans="1:8" x14ac:dyDescent="0.25">
      <c r="A537" s="57">
        <v>8227</v>
      </c>
      <c r="B537" s="57" t="s">
        <v>295</v>
      </c>
      <c r="C537" s="60">
        <v>2005</v>
      </c>
      <c r="D537" s="60">
        <v>2596</v>
      </c>
      <c r="E537" s="60">
        <v>170305</v>
      </c>
      <c r="F537" s="64">
        <v>843217</v>
      </c>
      <c r="G537" s="20">
        <f t="shared" si="8"/>
        <v>324.81394453004623</v>
      </c>
      <c r="H537" s="20" t="s">
        <v>86</v>
      </c>
    </row>
    <row r="538" spans="1:8" x14ac:dyDescent="0.25">
      <c r="A538" s="57">
        <v>8228</v>
      </c>
      <c r="B538" s="57" t="s">
        <v>296</v>
      </c>
      <c r="C538" s="60">
        <v>1989</v>
      </c>
      <c r="D538" s="57">
        <v>390</v>
      </c>
      <c r="E538" s="60">
        <v>8378</v>
      </c>
      <c r="F538" s="64">
        <v>75398</v>
      </c>
      <c r="G538" s="20">
        <f t="shared" si="8"/>
        <v>193.32820512820513</v>
      </c>
      <c r="H538" s="20" t="s">
        <v>86</v>
      </c>
    </row>
    <row r="539" spans="1:8" x14ac:dyDescent="0.25">
      <c r="A539" s="50">
        <v>17173</v>
      </c>
      <c r="B539" s="50" t="s">
        <v>569</v>
      </c>
      <c r="C539" s="51">
        <v>1989</v>
      </c>
      <c r="D539" s="52">
        <v>172</v>
      </c>
      <c r="E539" s="51">
        <v>8710</v>
      </c>
      <c r="F539" s="51">
        <v>69676</v>
      </c>
      <c r="G539" s="20">
        <f t="shared" si="8"/>
        <v>405.09302325581393</v>
      </c>
      <c r="H539" s="20" t="s">
        <v>479</v>
      </c>
    </row>
    <row r="540" spans="1:8" x14ac:dyDescent="0.25">
      <c r="A540" s="57">
        <v>8229</v>
      </c>
      <c r="B540" s="57" t="s">
        <v>297</v>
      </c>
      <c r="C540" s="60">
        <v>1989</v>
      </c>
      <c r="D540" s="57">
        <v>607</v>
      </c>
      <c r="E540" s="60">
        <v>14872</v>
      </c>
      <c r="F540" s="64">
        <v>99642</v>
      </c>
      <c r="G540" s="20">
        <f t="shared" si="8"/>
        <v>164.15485996705107</v>
      </c>
      <c r="H540" s="20" t="s">
        <v>86</v>
      </c>
    </row>
    <row r="541" spans="1:8" x14ac:dyDescent="0.25">
      <c r="A541" s="53">
        <v>17174</v>
      </c>
      <c r="B541" s="53" t="s">
        <v>570</v>
      </c>
      <c r="C541" s="54">
        <v>1989</v>
      </c>
      <c r="D541" s="55">
        <v>145</v>
      </c>
      <c r="E541" s="54">
        <v>8295</v>
      </c>
      <c r="F541" s="54">
        <v>49770</v>
      </c>
      <c r="G541" s="20">
        <f t="shared" si="8"/>
        <v>343.24137931034483</v>
      </c>
      <c r="H541" s="20" t="s">
        <v>479</v>
      </c>
    </row>
    <row r="542" spans="1:8" x14ac:dyDescent="0.25">
      <c r="A542" s="50">
        <v>17175</v>
      </c>
      <c r="B542" s="50" t="s">
        <v>571</v>
      </c>
      <c r="C542" s="51">
        <v>1986</v>
      </c>
      <c r="D542" s="52">
        <v>448</v>
      </c>
      <c r="E542" s="51">
        <v>18182</v>
      </c>
      <c r="F542" s="51">
        <v>126000</v>
      </c>
      <c r="G542" s="20">
        <f t="shared" si="8"/>
        <v>281.25</v>
      </c>
      <c r="H542" s="20" t="s">
        <v>479</v>
      </c>
    </row>
    <row r="543" spans="1:8" x14ac:dyDescent="0.25">
      <c r="A543" s="53">
        <v>17176</v>
      </c>
      <c r="B543" s="53" t="s">
        <v>572</v>
      </c>
      <c r="C543" s="54">
        <v>2007</v>
      </c>
      <c r="D543" s="55">
        <v>197</v>
      </c>
      <c r="E543" s="54">
        <v>16256</v>
      </c>
      <c r="F543" s="54">
        <v>65024</v>
      </c>
      <c r="G543" s="20">
        <f t="shared" si="8"/>
        <v>330.07106598984774</v>
      </c>
      <c r="H543" s="20" t="s">
        <v>479</v>
      </c>
    </row>
    <row r="544" spans="1:8" x14ac:dyDescent="0.25">
      <c r="A544" s="50">
        <v>17177</v>
      </c>
      <c r="B544" s="50" t="s">
        <v>573</v>
      </c>
      <c r="C544" s="51">
        <v>1987</v>
      </c>
      <c r="D544" s="52">
        <v>893</v>
      </c>
      <c r="E544" s="51">
        <v>32070</v>
      </c>
      <c r="F544" s="51">
        <v>295689</v>
      </c>
      <c r="G544" s="20">
        <f t="shared" si="8"/>
        <v>331.11870100783875</v>
      </c>
      <c r="H544" s="20" t="s">
        <v>479</v>
      </c>
    </row>
    <row r="545" spans="1:8" x14ac:dyDescent="0.25">
      <c r="A545" s="57">
        <v>8231</v>
      </c>
      <c r="B545" s="57" t="s">
        <v>298</v>
      </c>
      <c r="C545" s="60">
        <v>2000</v>
      </c>
      <c r="D545" s="60">
        <v>20399</v>
      </c>
      <c r="E545" s="60">
        <v>1386630</v>
      </c>
      <c r="F545" s="64">
        <v>9647623</v>
      </c>
      <c r="G545" s="20">
        <f t="shared" si="8"/>
        <v>472.94587969998531</v>
      </c>
      <c r="H545" s="20" t="s">
        <v>86</v>
      </c>
    </row>
    <row r="546" spans="1:8" x14ac:dyDescent="0.25">
      <c r="A546" s="57">
        <v>8232</v>
      </c>
      <c r="B546" s="57" t="s">
        <v>299</v>
      </c>
      <c r="C546" s="60">
        <v>1988</v>
      </c>
      <c r="D546" s="60">
        <v>1720</v>
      </c>
      <c r="E546" s="60">
        <v>73348</v>
      </c>
      <c r="F546" s="64">
        <v>608786</v>
      </c>
      <c r="G546" s="20">
        <f t="shared" si="8"/>
        <v>353.94534883720928</v>
      </c>
      <c r="H546" s="20" t="s">
        <v>86</v>
      </c>
    </row>
    <row r="547" spans="1:8" x14ac:dyDescent="0.25">
      <c r="A547" s="57">
        <v>8233</v>
      </c>
      <c r="B547" s="57" t="s">
        <v>300</v>
      </c>
      <c r="C547" s="60">
        <v>2009</v>
      </c>
      <c r="D547" s="60">
        <v>1425</v>
      </c>
      <c r="E547" s="60">
        <v>128963</v>
      </c>
      <c r="F547" s="64">
        <v>554539</v>
      </c>
      <c r="G547" s="20">
        <f t="shared" si="8"/>
        <v>389.15017543859648</v>
      </c>
      <c r="H547" s="20" t="s">
        <v>86</v>
      </c>
    </row>
    <row r="548" spans="1:8" x14ac:dyDescent="0.25">
      <c r="A548" s="57">
        <v>8234</v>
      </c>
      <c r="B548" s="57" t="s">
        <v>301</v>
      </c>
      <c r="C548" s="60">
        <v>1987</v>
      </c>
      <c r="D548" s="60">
        <v>3026</v>
      </c>
      <c r="E548" s="60">
        <v>190838</v>
      </c>
      <c r="F548" s="64">
        <v>1755707</v>
      </c>
      <c r="G548" s="20">
        <f t="shared" si="8"/>
        <v>580.2072042300066</v>
      </c>
      <c r="H548" s="20" t="s">
        <v>86</v>
      </c>
    </row>
    <row r="549" spans="1:8" x14ac:dyDescent="0.25">
      <c r="A549" s="53">
        <v>17178</v>
      </c>
      <c r="B549" s="53" t="s">
        <v>574</v>
      </c>
      <c r="C549" s="54">
        <v>1989</v>
      </c>
      <c r="D549" s="54">
        <v>2178</v>
      </c>
      <c r="E549" s="54">
        <v>205835</v>
      </c>
      <c r="F549" s="54">
        <v>1062106</v>
      </c>
      <c r="G549" s="20">
        <f t="shared" si="8"/>
        <v>487.6519742883379</v>
      </c>
      <c r="H549" s="20" t="s">
        <v>479</v>
      </c>
    </row>
    <row r="550" spans="1:8" x14ac:dyDescent="0.25">
      <c r="A550" s="57">
        <v>8189</v>
      </c>
      <c r="B550" s="57" t="s">
        <v>302</v>
      </c>
      <c r="C550" s="60">
        <v>1989</v>
      </c>
      <c r="D550" s="57">
        <v>138</v>
      </c>
      <c r="E550" s="60">
        <v>7620</v>
      </c>
      <c r="F550" s="64">
        <v>45721</v>
      </c>
      <c r="G550" s="20">
        <f t="shared" si="8"/>
        <v>331.31159420289856</v>
      </c>
      <c r="H550" s="20" t="s">
        <v>86</v>
      </c>
    </row>
    <row r="551" spans="1:8" x14ac:dyDescent="0.25">
      <c r="A551" s="57">
        <v>8235</v>
      </c>
      <c r="B551" s="57" t="s">
        <v>303</v>
      </c>
      <c r="C551" s="60">
        <v>2001</v>
      </c>
      <c r="D551" s="60">
        <v>6020</v>
      </c>
      <c r="E551" s="60">
        <v>406367</v>
      </c>
      <c r="F551" s="64">
        <v>3129026</v>
      </c>
      <c r="G551" s="20">
        <f t="shared" si="8"/>
        <v>519.77176079734215</v>
      </c>
      <c r="H551" s="20" t="s">
        <v>86</v>
      </c>
    </row>
    <row r="552" spans="1:8" x14ac:dyDescent="0.25">
      <c r="A552" s="57">
        <v>8236</v>
      </c>
      <c r="B552" s="57" t="s">
        <v>304</v>
      </c>
      <c r="C552" s="60">
        <v>1988</v>
      </c>
      <c r="D552" s="60">
        <v>1577</v>
      </c>
      <c r="E552" s="60">
        <v>61479</v>
      </c>
      <c r="F552" s="64">
        <v>454331</v>
      </c>
      <c r="G552" s="20">
        <f t="shared" si="8"/>
        <v>288.0982878883957</v>
      </c>
      <c r="H552" s="20" t="s">
        <v>86</v>
      </c>
    </row>
    <row r="553" spans="1:8" x14ac:dyDescent="0.25">
      <c r="A553" s="57">
        <v>8237</v>
      </c>
      <c r="B553" s="57" t="s">
        <v>305</v>
      </c>
      <c r="C553" s="60">
        <v>1987</v>
      </c>
      <c r="D553" s="60">
        <v>1467</v>
      </c>
      <c r="E553" s="60">
        <v>60231</v>
      </c>
      <c r="F553" s="64">
        <v>530029</v>
      </c>
      <c r="G553" s="20">
        <f t="shared" si="8"/>
        <v>361.30129516019088</v>
      </c>
      <c r="H553" s="20" t="s">
        <v>86</v>
      </c>
    </row>
    <row r="554" spans="1:8" x14ac:dyDescent="0.25">
      <c r="A554" s="57">
        <v>8238</v>
      </c>
      <c r="B554" s="57" t="s">
        <v>306</v>
      </c>
      <c r="C554" s="60">
        <v>2005</v>
      </c>
      <c r="D554" s="60">
        <v>12277</v>
      </c>
      <c r="E554" s="60">
        <v>1445333</v>
      </c>
      <c r="F554" s="64">
        <v>7897299</v>
      </c>
      <c r="G554" s="20">
        <f t="shared" si="8"/>
        <v>643.25967255844262</v>
      </c>
      <c r="H554" s="20" t="s">
        <v>86</v>
      </c>
    </row>
    <row r="555" spans="1:8" x14ac:dyDescent="0.25">
      <c r="A555" s="57">
        <v>8239</v>
      </c>
      <c r="B555" s="57" t="s">
        <v>307</v>
      </c>
      <c r="C555" s="60">
        <v>2002</v>
      </c>
      <c r="D555" s="57">
        <v>643</v>
      </c>
      <c r="E555" s="60">
        <v>43740</v>
      </c>
      <c r="F555" s="64">
        <v>418591</v>
      </c>
      <c r="G555" s="20">
        <f t="shared" si="8"/>
        <v>650.99688958009335</v>
      </c>
      <c r="H555" s="20" t="s">
        <v>86</v>
      </c>
    </row>
    <row r="556" spans="1:8" x14ac:dyDescent="0.25">
      <c r="A556" s="57">
        <v>8240</v>
      </c>
      <c r="B556" s="57" t="s">
        <v>308</v>
      </c>
      <c r="C556" s="60">
        <v>1996</v>
      </c>
      <c r="D556" s="60">
        <v>8853</v>
      </c>
      <c r="E556" s="60">
        <v>712244</v>
      </c>
      <c r="F556" s="64">
        <v>3592040</v>
      </c>
      <c r="G556" s="20">
        <f t="shared" si="8"/>
        <v>405.74268609510898</v>
      </c>
      <c r="H556" s="20" t="s">
        <v>86</v>
      </c>
    </row>
    <row r="557" spans="1:8" x14ac:dyDescent="0.25">
      <c r="A557" s="57">
        <v>8241</v>
      </c>
      <c r="B557" s="57" t="s">
        <v>309</v>
      </c>
      <c r="C557" s="60">
        <v>1989</v>
      </c>
      <c r="D557" s="57">
        <v>133</v>
      </c>
      <c r="E557" s="60">
        <v>2416</v>
      </c>
      <c r="F557" s="64">
        <v>18123</v>
      </c>
      <c r="G557" s="20">
        <f t="shared" si="8"/>
        <v>136.26315789473685</v>
      </c>
      <c r="H557" s="20" t="s">
        <v>86</v>
      </c>
    </row>
    <row r="558" spans="1:8" x14ac:dyDescent="0.25">
      <c r="A558" s="57">
        <v>8098</v>
      </c>
      <c r="B558" s="57" t="s">
        <v>310</v>
      </c>
      <c r="C558" s="60">
        <v>2005</v>
      </c>
      <c r="D558" s="60">
        <v>1473</v>
      </c>
      <c r="E558" s="60">
        <v>121832</v>
      </c>
      <c r="F558" s="64">
        <v>755360</v>
      </c>
      <c r="G558" s="20">
        <f t="shared" si="8"/>
        <v>512.80380176510528</v>
      </c>
      <c r="H558" s="20" t="s">
        <v>86</v>
      </c>
    </row>
    <row r="559" spans="1:8" x14ac:dyDescent="0.25">
      <c r="A559" s="57">
        <v>8262</v>
      </c>
      <c r="B559" s="57" t="s">
        <v>311</v>
      </c>
      <c r="C559" s="60">
        <v>2009</v>
      </c>
      <c r="D559" s="60">
        <v>6256</v>
      </c>
      <c r="E559" s="60">
        <v>394380</v>
      </c>
      <c r="F559" s="64">
        <v>2405720</v>
      </c>
      <c r="G559" s="20">
        <f t="shared" si="8"/>
        <v>384.54603580562662</v>
      </c>
      <c r="H559" s="20" t="s">
        <v>86</v>
      </c>
    </row>
    <row r="560" spans="1:8" x14ac:dyDescent="0.25">
      <c r="A560" s="57">
        <v>8264</v>
      </c>
      <c r="B560" s="57" t="s">
        <v>312</v>
      </c>
      <c r="C560" s="60">
        <v>2010</v>
      </c>
      <c r="D560" s="60">
        <v>4467</v>
      </c>
      <c r="E560" s="60">
        <v>670639</v>
      </c>
      <c r="F560" s="64">
        <v>2813244</v>
      </c>
      <c r="G560" s="20">
        <f t="shared" si="8"/>
        <v>629.78374748153124</v>
      </c>
      <c r="H560" s="20" t="s">
        <v>86</v>
      </c>
    </row>
    <row r="561" spans="1:8" x14ac:dyDescent="0.25">
      <c r="A561" s="57">
        <v>8265</v>
      </c>
      <c r="B561" s="57" t="s">
        <v>313</v>
      </c>
      <c r="C561" s="60">
        <v>1986</v>
      </c>
      <c r="D561" s="60">
        <v>1325</v>
      </c>
      <c r="E561" s="60">
        <v>67578</v>
      </c>
      <c r="F561" s="64">
        <v>594686</v>
      </c>
      <c r="G561" s="20">
        <f t="shared" si="8"/>
        <v>448.81962264150945</v>
      </c>
      <c r="H561" s="20" t="s">
        <v>86</v>
      </c>
    </row>
    <row r="562" spans="1:8" x14ac:dyDescent="0.25">
      <c r="A562" s="57">
        <v>8263</v>
      </c>
      <c r="B562" s="57" t="s">
        <v>314</v>
      </c>
      <c r="C562" s="60">
        <v>2006</v>
      </c>
      <c r="D562" s="60">
        <v>15540</v>
      </c>
      <c r="E562" s="60">
        <v>1910783</v>
      </c>
      <c r="F562" s="64">
        <v>9261378</v>
      </c>
      <c r="G562" s="20">
        <f t="shared" si="8"/>
        <v>595.97027027027025</v>
      </c>
      <c r="H562" s="20" t="s">
        <v>86</v>
      </c>
    </row>
    <row r="563" spans="1:8" x14ac:dyDescent="0.25">
      <c r="A563" s="65">
        <v>43138</v>
      </c>
      <c r="B563" s="65" t="s">
        <v>768</v>
      </c>
      <c r="C563" s="66">
        <v>1986</v>
      </c>
      <c r="D563" s="114">
        <v>3641</v>
      </c>
      <c r="E563" s="114">
        <v>128592</v>
      </c>
      <c r="F563" s="115">
        <v>1028734.65</v>
      </c>
      <c r="G563" s="20">
        <f t="shared" si="8"/>
        <v>282.54178797033785</v>
      </c>
      <c r="H563" s="20" t="s">
        <v>778</v>
      </c>
    </row>
    <row r="564" spans="1:8" x14ac:dyDescent="0.25">
      <c r="A564" s="57">
        <v>8243</v>
      </c>
      <c r="B564" s="57" t="s">
        <v>315</v>
      </c>
      <c r="C564" s="60">
        <v>2005</v>
      </c>
      <c r="D564" s="57">
        <v>93</v>
      </c>
      <c r="E564" s="60">
        <v>5609</v>
      </c>
      <c r="F564" s="64">
        <v>32699</v>
      </c>
      <c r="G564" s="20">
        <f t="shared" si="8"/>
        <v>351.60215053763443</v>
      </c>
      <c r="H564" s="20" t="s">
        <v>86</v>
      </c>
    </row>
    <row r="565" spans="1:8" x14ac:dyDescent="0.25">
      <c r="A565" s="57">
        <v>8244</v>
      </c>
      <c r="B565" s="57" t="s">
        <v>316</v>
      </c>
      <c r="C565" s="60">
        <v>2006</v>
      </c>
      <c r="D565" s="60">
        <v>4329</v>
      </c>
      <c r="E565" s="60">
        <v>418418</v>
      </c>
      <c r="F565" s="64">
        <v>2908006</v>
      </c>
      <c r="G565" s="20">
        <f t="shared" si="8"/>
        <v>671.75005775005775</v>
      </c>
      <c r="H565" s="20" t="s">
        <v>86</v>
      </c>
    </row>
    <row r="566" spans="1:8" x14ac:dyDescent="0.25">
      <c r="A566" s="50">
        <v>17180</v>
      </c>
      <c r="B566" s="50" t="s">
        <v>575</v>
      </c>
      <c r="C566" s="51">
        <v>2004</v>
      </c>
      <c r="D566" s="51">
        <v>8771</v>
      </c>
      <c r="E566" s="51">
        <v>585052</v>
      </c>
      <c r="F566" s="51">
        <v>4270882</v>
      </c>
      <c r="G566" s="20">
        <f t="shared" si="8"/>
        <v>486.93216280925776</v>
      </c>
      <c r="H566" s="20" t="s">
        <v>479</v>
      </c>
    </row>
    <row r="567" spans="1:8" x14ac:dyDescent="0.25">
      <c r="A567" s="57">
        <v>8245</v>
      </c>
      <c r="B567" s="57" t="s">
        <v>317</v>
      </c>
      <c r="C567" s="60">
        <v>2013</v>
      </c>
      <c r="D567" s="60">
        <v>70754</v>
      </c>
      <c r="E567" s="60">
        <v>4412864</v>
      </c>
      <c r="F567" s="64">
        <v>21692673</v>
      </c>
      <c r="G567" s="20">
        <f t="shared" si="8"/>
        <v>306.59288520790346</v>
      </c>
      <c r="H567" s="20" t="s">
        <v>86</v>
      </c>
    </row>
    <row r="568" spans="1:8" x14ac:dyDescent="0.25">
      <c r="A568" s="67">
        <v>43139</v>
      </c>
      <c r="B568" s="67" t="s">
        <v>769</v>
      </c>
      <c r="C568" s="68">
        <v>1990</v>
      </c>
      <c r="D568" s="114">
        <v>2389</v>
      </c>
      <c r="E568" s="114">
        <v>102187</v>
      </c>
      <c r="F568" s="115">
        <v>710201.59</v>
      </c>
      <c r="G568" s="20">
        <f t="shared" si="8"/>
        <v>297.27986186688992</v>
      </c>
      <c r="H568" s="20" t="s">
        <v>778</v>
      </c>
    </row>
    <row r="569" spans="1:8" x14ac:dyDescent="0.25">
      <c r="A569" s="53">
        <v>17181</v>
      </c>
      <c r="B569" s="53" t="s">
        <v>576</v>
      </c>
      <c r="C569" s="54">
        <v>2005</v>
      </c>
      <c r="D569" s="54">
        <v>5910</v>
      </c>
      <c r="E569" s="54">
        <v>572976</v>
      </c>
      <c r="F569" s="54">
        <v>4021717</v>
      </c>
      <c r="G569" s="20">
        <f t="shared" si="8"/>
        <v>680.49357021996616</v>
      </c>
      <c r="H569" s="20" t="s">
        <v>479</v>
      </c>
    </row>
    <row r="570" spans="1:8" x14ac:dyDescent="0.25">
      <c r="A570" s="57">
        <v>8246</v>
      </c>
      <c r="B570" s="57" t="s">
        <v>318</v>
      </c>
      <c r="C570" s="60">
        <v>1987</v>
      </c>
      <c r="D570" s="60">
        <v>1359</v>
      </c>
      <c r="E570" s="60">
        <v>72216</v>
      </c>
      <c r="F570" s="64">
        <v>454239</v>
      </c>
      <c r="G570" s="20">
        <f t="shared" si="8"/>
        <v>334.2450331125828</v>
      </c>
      <c r="H570" s="20" t="s">
        <v>86</v>
      </c>
    </row>
    <row r="571" spans="1:8" x14ac:dyDescent="0.25">
      <c r="A571" s="57">
        <v>8247</v>
      </c>
      <c r="B571" s="57" t="s">
        <v>319</v>
      </c>
      <c r="C571" s="60">
        <v>2010</v>
      </c>
      <c r="D571" s="57">
        <v>925</v>
      </c>
      <c r="E571" s="60">
        <v>52930</v>
      </c>
      <c r="F571" s="64">
        <v>281465</v>
      </c>
      <c r="G571" s="20">
        <f t="shared" si="8"/>
        <v>304.28648648648647</v>
      </c>
      <c r="H571" s="20" t="s">
        <v>86</v>
      </c>
    </row>
    <row r="572" spans="1:8" x14ac:dyDescent="0.25">
      <c r="A572" s="57">
        <v>8248</v>
      </c>
      <c r="B572" s="57" t="s">
        <v>320</v>
      </c>
      <c r="C572" s="60">
        <v>1996</v>
      </c>
      <c r="D572" s="60">
        <v>4019</v>
      </c>
      <c r="E572" s="60">
        <v>370054</v>
      </c>
      <c r="F572" s="64">
        <v>2793910</v>
      </c>
      <c r="G572" s="20">
        <f t="shared" si="8"/>
        <v>695.17541677034092</v>
      </c>
      <c r="H572" s="20" t="s">
        <v>86</v>
      </c>
    </row>
    <row r="573" spans="1:8" x14ac:dyDescent="0.25">
      <c r="A573" s="57">
        <v>8249</v>
      </c>
      <c r="B573" s="57" t="s">
        <v>321</v>
      </c>
      <c r="C573" s="60">
        <v>1988</v>
      </c>
      <c r="D573" s="57">
        <v>154</v>
      </c>
      <c r="E573" s="60">
        <v>11978</v>
      </c>
      <c r="F573" s="64">
        <v>93425</v>
      </c>
      <c r="G573" s="20">
        <f t="shared" si="8"/>
        <v>606.65584415584419</v>
      </c>
      <c r="H573" s="20" t="s">
        <v>86</v>
      </c>
    </row>
    <row r="574" spans="1:8" x14ac:dyDescent="0.25">
      <c r="A574" s="50">
        <v>17182</v>
      </c>
      <c r="B574" s="50" t="s">
        <v>577</v>
      </c>
      <c r="C574" s="51">
        <v>1989</v>
      </c>
      <c r="D574" s="52">
        <v>252</v>
      </c>
      <c r="E574" s="51">
        <v>17766</v>
      </c>
      <c r="F574" s="51">
        <v>97714</v>
      </c>
      <c r="G574" s="20">
        <f t="shared" si="8"/>
        <v>387.75396825396825</v>
      </c>
      <c r="H574" s="20" t="s">
        <v>479</v>
      </c>
    </row>
    <row r="575" spans="1:8" x14ac:dyDescent="0.25">
      <c r="A575" s="57">
        <v>8250</v>
      </c>
      <c r="B575" s="57" t="s">
        <v>322</v>
      </c>
      <c r="C575" s="60">
        <v>2004</v>
      </c>
      <c r="D575" s="60">
        <v>6058</v>
      </c>
      <c r="E575" s="60">
        <v>307295</v>
      </c>
      <c r="F575" s="64">
        <v>1754656</v>
      </c>
      <c r="G575" s="20">
        <f t="shared" si="8"/>
        <v>289.6427863981512</v>
      </c>
      <c r="H575" s="20" t="s">
        <v>86</v>
      </c>
    </row>
    <row r="576" spans="1:8" x14ac:dyDescent="0.25">
      <c r="A576" s="57">
        <v>8251</v>
      </c>
      <c r="B576" s="57" t="s">
        <v>323</v>
      </c>
      <c r="C576" s="60">
        <v>1997</v>
      </c>
      <c r="D576" s="60">
        <v>5154</v>
      </c>
      <c r="E576" s="60">
        <v>307734</v>
      </c>
      <c r="F576" s="64">
        <v>1492511</v>
      </c>
      <c r="G576" s="20">
        <f t="shared" si="8"/>
        <v>289.58304229724484</v>
      </c>
      <c r="H576" s="20" t="s">
        <v>86</v>
      </c>
    </row>
    <row r="577" spans="1:8" x14ac:dyDescent="0.25">
      <c r="A577" s="57">
        <v>8253</v>
      </c>
      <c r="B577" s="57" t="s">
        <v>324</v>
      </c>
      <c r="C577" s="60">
        <v>1987</v>
      </c>
      <c r="D577" s="57">
        <v>159</v>
      </c>
      <c r="E577" s="60">
        <v>5329</v>
      </c>
      <c r="F577" s="64">
        <v>44603</v>
      </c>
      <c r="G577" s="20">
        <f t="shared" si="8"/>
        <v>280.52201257861634</v>
      </c>
      <c r="H577" s="20" t="s">
        <v>86</v>
      </c>
    </row>
    <row r="578" spans="1:8" x14ac:dyDescent="0.25">
      <c r="A578" s="57">
        <v>8256</v>
      </c>
      <c r="B578" s="57" t="s">
        <v>325</v>
      </c>
      <c r="C578" s="60">
        <v>1995</v>
      </c>
      <c r="D578" s="57">
        <v>487</v>
      </c>
      <c r="E578" s="60">
        <v>40629</v>
      </c>
      <c r="F578" s="64">
        <v>222242</v>
      </c>
      <c r="G578" s="20">
        <f t="shared" ref="G578:G641" si="9">F578/D578</f>
        <v>456.34907597535937</v>
      </c>
      <c r="H578" s="20" t="s">
        <v>86</v>
      </c>
    </row>
    <row r="579" spans="1:8" x14ac:dyDescent="0.25">
      <c r="A579" s="57">
        <v>8255</v>
      </c>
      <c r="B579" s="57" t="s">
        <v>326</v>
      </c>
      <c r="C579" s="60">
        <v>1988</v>
      </c>
      <c r="D579" s="57">
        <v>117</v>
      </c>
      <c r="E579" s="60">
        <v>4719</v>
      </c>
      <c r="F579" s="64">
        <v>18876</v>
      </c>
      <c r="G579" s="20">
        <f t="shared" si="9"/>
        <v>161.33333333333334</v>
      </c>
      <c r="H579" s="20" t="s">
        <v>86</v>
      </c>
    </row>
    <row r="580" spans="1:8" x14ac:dyDescent="0.25">
      <c r="A580" s="57">
        <v>8257</v>
      </c>
      <c r="B580" s="57" t="s">
        <v>327</v>
      </c>
      <c r="C580" s="60">
        <v>1988</v>
      </c>
      <c r="D580" s="57">
        <v>120</v>
      </c>
      <c r="E580" s="60">
        <v>6854</v>
      </c>
      <c r="F580" s="64">
        <v>36602</v>
      </c>
      <c r="G580" s="20">
        <f t="shared" si="9"/>
        <v>305.01666666666665</v>
      </c>
      <c r="H580" s="20" t="s">
        <v>86</v>
      </c>
    </row>
    <row r="581" spans="1:8" x14ac:dyDescent="0.25">
      <c r="A581" s="57">
        <v>8259</v>
      </c>
      <c r="B581" s="57" t="s">
        <v>328</v>
      </c>
      <c r="C581" s="60">
        <v>2005</v>
      </c>
      <c r="D581" s="60">
        <v>5803</v>
      </c>
      <c r="E581" s="60">
        <v>483575</v>
      </c>
      <c r="F581" s="64">
        <v>2980773</v>
      </c>
      <c r="G581" s="20">
        <f t="shared" si="9"/>
        <v>513.66069274513188</v>
      </c>
      <c r="H581" s="20" t="s">
        <v>86</v>
      </c>
    </row>
    <row r="582" spans="1:8" x14ac:dyDescent="0.25">
      <c r="A582" s="57">
        <v>8258</v>
      </c>
      <c r="B582" s="57" t="s">
        <v>329</v>
      </c>
      <c r="C582" s="60">
        <v>2007</v>
      </c>
      <c r="D582" s="57">
        <v>647</v>
      </c>
      <c r="E582" s="60">
        <v>32089</v>
      </c>
      <c r="F582" s="64">
        <v>198953</v>
      </c>
      <c r="G582" s="20">
        <f t="shared" si="9"/>
        <v>307.50077279752702</v>
      </c>
      <c r="H582" s="20" t="s">
        <v>86</v>
      </c>
    </row>
    <row r="583" spans="1:8" x14ac:dyDescent="0.25">
      <c r="A583" s="65">
        <v>43140</v>
      </c>
      <c r="B583" s="65" t="s">
        <v>770</v>
      </c>
      <c r="C583" s="66">
        <v>1996</v>
      </c>
      <c r="D583" s="114">
        <v>2344</v>
      </c>
      <c r="E583" s="114">
        <v>215325</v>
      </c>
      <c r="F583" s="115">
        <v>1399609.5</v>
      </c>
      <c r="G583" s="20">
        <f t="shared" si="9"/>
        <v>597.10302901023886</v>
      </c>
      <c r="H583" s="20" t="s">
        <v>778</v>
      </c>
    </row>
    <row r="584" spans="1:8" x14ac:dyDescent="0.25">
      <c r="A584" s="53">
        <v>17184</v>
      </c>
      <c r="B584" s="53" t="s">
        <v>578</v>
      </c>
      <c r="C584" s="54">
        <v>1987</v>
      </c>
      <c r="D584" s="54">
        <v>1102</v>
      </c>
      <c r="E584" s="54">
        <v>55071</v>
      </c>
      <c r="F584" s="54">
        <v>446075</v>
      </c>
      <c r="G584" s="20">
        <f t="shared" si="9"/>
        <v>404.78675136116152</v>
      </c>
      <c r="H584" s="20" t="s">
        <v>479</v>
      </c>
    </row>
    <row r="585" spans="1:8" x14ac:dyDescent="0.25">
      <c r="A585" s="57">
        <v>8260</v>
      </c>
      <c r="B585" s="57" t="s">
        <v>330</v>
      </c>
      <c r="C585" s="60">
        <v>2008</v>
      </c>
      <c r="D585" s="60">
        <v>16179</v>
      </c>
      <c r="E585" s="60">
        <v>1512016</v>
      </c>
      <c r="F585" s="64">
        <v>10410577</v>
      </c>
      <c r="G585" s="20">
        <f t="shared" si="9"/>
        <v>643.46232770875827</v>
      </c>
      <c r="H585" s="20" t="s">
        <v>86</v>
      </c>
    </row>
    <row r="586" spans="1:8" x14ac:dyDescent="0.25">
      <c r="A586" s="57">
        <v>8261</v>
      </c>
      <c r="B586" s="57" t="s">
        <v>331</v>
      </c>
      <c r="C586" s="60">
        <v>2012</v>
      </c>
      <c r="D586" s="60">
        <v>3138</v>
      </c>
      <c r="E586" s="60">
        <v>572730</v>
      </c>
      <c r="F586" s="64">
        <v>4609505</v>
      </c>
      <c r="G586" s="20">
        <f t="shared" si="9"/>
        <v>1468.9308476736776</v>
      </c>
      <c r="H586" s="20" t="s">
        <v>86</v>
      </c>
    </row>
    <row r="587" spans="1:8" x14ac:dyDescent="0.25">
      <c r="A587" s="57">
        <v>8192</v>
      </c>
      <c r="B587" s="57" t="s">
        <v>332</v>
      </c>
      <c r="C587" s="60">
        <v>2010</v>
      </c>
      <c r="D587" s="60">
        <v>5232</v>
      </c>
      <c r="E587" s="60">
        <v>383083</v>
      </c>
      <c r="F587" s="64">
        <v>2517039</v>
      </c>
      <c r="G587" s="20">
        <f t="shared" si="9"/>
        <v>481.08543577981652</v>
      </c>
      <c r="H587" s="20" t="s">
        <v>86</v>
      </c>
    </row>
    <row r="588" spans="1:8" x14ac:dyDescent="0.25">
      <c r="A588" s="67">
        <v>43142</v>
      </c>
      <c r="B588" s="67" t="s">
        <v>771</v>
      </c>
      <c r="C588" s="68">
        <v>2005</v>
      </c>
      <c r="D588" s="114">
        <v>1592</v>
      </c>
      <c r="E588" s="114">
        <v>97955</v>
      </c>
      <c r="F588" s="115">
        <v>541691.32999999996</v>
      </c>
      <c r="G588" s="20">
        <f t="shared" si="9"/>
        <v>340.25837311557785</v>
      </c>
      <c r="H588" s="20" t="s">
        <v>778</v>
      </c>
    </row>
    <row r="589" spans="1:8" x14ac:dyDescent="0.25">
      <c r="A589" s="50">
        <v>17186</v>
      </c>
      <c r="B589" s="50" t="s">
        <v>579</v>
      </c>
      <c r="C589" s="51">
        <v>1994</v>
      </c>
      <c r="D589" s="51">
        <v>3615</v>
      </c>
      <c r="E589" s="51">
        <v>156062</v>
      </c>
      <c r="F589" s="51">
        <v>1181699</v>
      </c>
      <c r="G589" s="20">
        <f t="shared" si="9"/>
        <v>326.88769017980638</v>
      </c>
      <c r="H589" s="20" t="s">
        <v>479</v>
      </c>
    </row>
    <row r="590" spans="1:8" x14ac:dyDescent="0.25">
      <c r="A590" s="53">
        <v>17187</v>
      </c>
      <c r="B590" s="53" t="s">
        <v>580</v>
      </c>
      <c r="C590" s="54">
        <v>1987</v>
      </c>
      <c r="D590" s="55">
        <v>695</v>
      </c>
      <c r="E590" s="54">
        <v>31363</v>
      </c>
      <c r="F590" s="54">
        <v>125453</v>
      </c>
      <c r="G590" s="20">
        <f t="shared" si="9"/>
        <v>180.50791366906475</v>
      </c>
      <c r="H590" s="20" t="s">
        <v>479</v>
      </c>
    </row>
    <row r="591" spans="1:8" x14ac:dyDescent="0.25">
      <c r="A591" s="65">
        <v>43143</v>
      </c>
      <c r="B591" s="65" t="s">
        <v>772</v>
      </c>
      <c r="C591" s="66">
        <v>1990</v>
      </c>
      <c r="D591" s="114">
        <v>156</v>
      </c>
      <c r="E591" s="114">
        <v>2446</v>
      </c>
      <c r="F591" s="115">
        <v>9785.6299999999992</v>
      </c>
      <c r="G591" s="20">
        <f t="shared" si="9"/>
        <v>62.728397435897428</v>
      </c>
      <c r="H591" s="20" t="s">
        <v>778</v>
      </c>
    </row>
    <row r="592" spans="1:8" x14ac:dyDescent="0.25">
      <c r="A592" s="67">
        <v>43144</v>
      </c>
      <c r="B592" s="67" t="s">
        <v>773</v>
      </c>
      <c r="C592" s="68">
        <v>2007</v>
      </c>
      <c r="D592" s="114">
        <v>1439</v>
      </c>
      <c r="E592" s="114">
        <v>96141</v>
      </c>
      <c r="F592" s="115">
        <v>528775.30000000005</v>
      </c>
      <c r="G592" s="20">
        <f t="shared" si="9"/>
        <v>367.46025017373177</v>
      </c>
      <c r="H592" s="20" t="s">
        <v>778</v>
      </c>
    </row>
    <row r="593" spans="1:8" x14ac:dyDescent="0.25">
      <c r="A593" s="50">
        <v>17188</v>
      </c>
      <c r="B593" s="50" t="s">
        <v>581</v>
      </c>
      <c r="C593" s="51">
        <v>1987</v>
      </c>
      <c r="D593" s="52">
        <v>362</v>
      </c>
      <c r="E593" s="51">
        <v>15689</v>
      </c>
      <c r="F593" s="51">
        <v>145909</v>
      </c>
      <c r="G593" s="20">
        <f t="shared" si="9"/>
        <v>403.06353591160223</v>
      </c>
      <c r="H593" s="20" t="s">
        <v>479</v>
      </c>
    </row>
    <row r="594" spans="1:8" x14ac:dyDescent="0.25">
      <c r="A594" s="65">
        <v>43145</v>
      </c>
      <c r="B594" s="65" t="s">
        <v>774</v>
      </c>
      <c r="C594" s="66">
        <v>1990</v>
      </c>
      <c r="D594" s="114">
        <v>4187</v>
      </c>
      <c r="E594" s="114">
        <v>233039</v>
      </c>
      <c r="F594" s="115">
        <v>1789971.89</v>
      </c>
      <c r="G594" s="20">
        <f t="shared" si="9"/>
        <v>427.50701934559351</v>
      </c>
      <c r="H594" s="20" t="s">
        <v>778</v>
      </c>
    </row>
    <row r="595" spans="1:8" x14ac:dyDescent="0.25">
      <c r="A595" s="67">
        <v>43146</v>
      </c>
      <c r="B595" s="67" t="s">
        <v>775</v>
      </c>
      <c r="C595" s="68">
        <v>1990</v>
      </c>
      <c r="D595" s="114">
        <v>89</v>
      </c>
      <c r="E595" s="114">
        <v>1687</v>
      </c>
      <c r="F595" s="115">
        <v>6747.58</v>
      </c>
      <c r="G595" s="20">
        <f t="shared" si="9"/>
        <v>75.815505617977522</v>
      </c>
      <c r="H595" s="20" t="s">
        <v>778</v>
      </c>
    </row>
    <row r="596" spans="1:8" x14ac:dyDescent="0.25">
      <c r="A596" s="65">
        <v>43044</v>
      </c>
      <c r="B596" s="65" t="s">
        <v>776</v>
      </c>
      <c r="C596" s="66">
        <v>2004</v>
      </c>
      <c r="D596" s="114">
        <v>4855</v>
      </c>
      <c r="E596" s="114">
        <v>289879</v>
      </c>
      <c r="F596" s="115">
        <v>1575780.03</v>
      </c>
      <c r="G596" s="20">
        <f t="shared" si="9"/>
        <v>324.56849227600412</v>
      </c>
      <c r="H596" s="20" t="s">
        <v>778</v>
      </c>
    </row>
    <row r="597" spans="1:8" x14ac:dyDescent="0.25">
      <c r="A597" s="57">
        <v>8267</v>
      </c>
      <c r="B597" s="57" t="s">
        <v>333</v>
      </c>
      <c r="C597" s="60">
        <v>2013</v>
      </c>
      <c r="D597" s="60">
        <v>5954</v>
      </c>
      <c r="E597" s="60">
        <v>436602</v>
      </c>
      <c r="F597" s="64">
        <v>2954339</v>
      </c>
      <c r="G597" s="20">
        <f t="shared" si="9"/>
        <v>496.19398723547198</v>
      </c>
      <c r="H597" s="20" t="s">
        <v>86</v>
      </c>
    </row>
    <row r="598" spans="1:8" x14ac:dyDescent="0.25">
      <c r="A598" s="53">
        <v>17190</v>
      </c>
      <c r="B598" s="53" t="s">
        <v>582</v>
      </c>
      <c r="C598" s="54">
        <v>1989</v>
      </c>
      <c r="D598" s="55">
        <v>729</v>
      </c>
      <c r="E598" s="54">
        <v>31940</v>
      </c>
      <c r="F598" s="54">
        <v>201222</v>
      </c>
      <c r="G598" s="20">
        <f t="shared" si="9"/>
        <v>276.02469135802471</v>
      </c>
      <c r="H598" s="20" t="s">
        <v>479</v>
      </c>
    </row>
    <row r="599" spans="1:8" x14ac:dyDescent="0.25">
      <c r="A599" s="50">
        <v>17191</v>
      </c>
      <c r="B599" s="50" t="s">
        <v>583</v>
      </c>
      <c r="C599" s="51">
        <v>1989</v>
      </c>
      <c r="D599" s="52">
        <v>209</v>
      </c>
      <c r="E599" s="51">
        <v>16820</v>
      </c>
      <c r="F599" s="51">
        <v>100919</v>
      </c>
      <c r="G599" s="20">
        <f t="shared" si="9"/>
        <v>482.86602870813397</v>
      </c>
      <c r="H599" s="20" t="s">
        <v>479</v>
      </c>
    </row>
    <row r="600" spans="1:8" x14ac:dyDescent="0.25">
      <c r="A600" s="53">
        <v>17192</v>
      </c>
      <c r="B600" s="53" t="s">
        <v>584</v>
      </c>
      <c r="C600" s="54">
        <v>2007</v>
      </c>
      <c r="D600" s="55">
        <v>593</v>
      </c>
      <c r="E600" s="54">
        <v>32989</v>
      </c>
      <c r="F600" s="54">
        <v>164942</v>
      </c>
      <c r="G600" s="20">
        <f t="shared" si="9"/>
        <v>278.14839797639121</v>
      </c>
      <c r="H600" s="20" t="s">
        <v>479</v>
      </c>
    </row>
    <row r="601" spans="1:8" x14ac:dyDescent="0.25">
      <c r="A601" s="57">
        <v>8269</v>
      </c>
      <c r="B601" s="57" t="s">
        <v>334</v>
      </c>
      <c r="C601" s="60">
        <v>1984</v>
      </c>
      <c r="D601" s="60">
        <v>2948</v>
      </c>
      <c r="E601" s="60">
        <v>243413</v>
      </c>
      <c r="F601" s="64">
        <v>1489685</v>
      </c>
      <c r="G601" s="20">
        <f t="shared" si="9"/>
        <v>505.3205563093623</v>
      </c>
      <c r="H601" s="20" t="s">
        <v>86</v>
      </c>
    </row>
    <row r="602" spans="1:8" x14ac:dyDescent="0.25">
      <c r="A602" s="50">
        <v>17193</v>
      </c>
      <c r="B602" s="50" t="s">
        <v>585</v>
      </c>
      <c r="C602" s="51">
        <v>1989</v>
      </c>
      <c r="D602" s="51">
        <v>4501</v>
      </c>
      <c r="E602" s="51">
        <v>179455</v>
      </c>
      <c r="F602" s="51">
        <v>1745016</v>
      </c>
      <c r="G602" s="20">
        <f t="shared" si="9"/>
        <v>387.69517884914461</v>
      </c>
      <c r="H602" s="20" t="s">
        <v>479</v>
      </c>
    </row>
    <row r="603" spans="1:8" x14ac:dyDescent="0.25">
      <c r="A603" s="57">
        <v>8270</v>
      </c>
      <c r="B603" s="57" t="s">
        <v>335</v>
      </c>
      <c r="C603" s="60">
        <v>2013</v>
      </c>
      <c r="D603" s="60">
        <v>28234</v>
      </c>
      <c r="E603" s="60">
        <v>3332233</v>
      </c>
      <c r="F603" s="64">
        <v>16693611</v>
      </c>
      <c r="G603" s="20">
        <f t="shared" si="9"/>
        <v>591.25915562796627</v>
      </c>
      <c r="H603" s="20" t="s">
        <v>86</v>
      </c>
    </row>
    <row r="604" spans="1:8" x14ac:dyDescent="0.25">
      <c r="A604" s="53">
        <v>17052</v>
      </c>
      <c r="B604" s="53" t="s">
        <v>586</v>
      </c>
      <c r="C604" s="54">
        <v>1989</v>
      </c>
      <c r="D604" s="55">
        <v>135</v>
      </c>
      <c r="E604" s="54">
        <v>11922</v>
      </c>
      <c r="F604" s="54">
        <v>59608</v>
      </c>
      <c r="G604" s="20">
        <f t="shared" si="9"/>
        <v>441.54074074074072</v>
      </c>
      <c r="H604" s="20" t="s">
        <v>479</v>
      </c>
    </row>
    <row r="605" spans="1:8" x14ac:dyDescent="0.25">
      <c r="A605" s="57">
        <v>8271</v>
      </c>
      <c r="B605" s="57" t="s">
        <v>336</v>
      </c>
      <c r="C605" s="60">
        <v>1989</v>
      </c>
      <c r="D605" s="57">
        <v>81</v>
      </c>
      <c r="E605" s="60">
        <v>3195</v>
      </c>
      <c r="F605" s="64">
        <v>26995</v>
      </c>
      <c r="G605" s="20">
        <f t="shared" si="9"/>
        <v>333.27160493827159</v>
      </c>
      <c r="H605" s="20" t="s">
        <v>86</v>
      </c>
    </row>
    <row r="606" spans="1:8" x14ac:dyDescent="0.25">
      <c r="A606" s="67">
        <v>43147</v>
      </c>
      <c r="B606" s="67" t="s">
        <v>777</v>
      </c>
      <c r="C606" s="68">
        <v>1989</v>
      </c>
      <c r="D606" s="114">
        <v>646</v>
      </c>
      <c r="E606" s="114">
        <v>17239</v>
      </c>
      <c r="F606" s="115">
        <v>163768.94</v>
      </c>
      <c r="G606" s="20">
        <f t="shared" si="9"/>
        <v>253.51229102167184</v>
      </c>
      <c r="H606" s="20" t="s">
        <v>778</v>
      </c>
    </row>
    <row r="607" spans="1:8" x14ac:dyDescent="0.25">
      <c r="A607" s="57">
        <v>8272</v>
      </c>
      <c r="B607" s="57" t="s">
        <v>337</v>
      </c>
      <c r="C607" s="60">
        <v>1989</v>
      </c>
      <c r="D607" s="57">
        <v>207</v>
      </c>
      <c r="E607" s="60">
        <v>9404</v>
      </c>
      <c r="F607" s="64">
        <v>61127</v>
      </c>
      <c r="G607" s="20">
        <f t="shared" si="9"/>
        <v>295.29951690821258</v>
      </c>
      <c r="H607" s="20" t="s">
        <v>86</v>
      </c>
    </row>
    <row r="608" spans="1:8" x14ac:dyDescent="0.25">
      <c r="A608" s="57">
        <v>8273</v>
      </c>
      <c r="B608" s="57" t="s">
        <v>338</v>
      </c>
      <c r="C608" s="60">
        <v>1987</v>
      </c>
      <c r="D608" s="60">
        <v>2290</v>
      </c>
      <c r="E608" s="60">
        <v>190806</v>
      </c>
      <c r="F608" s="64">
        <v>1184905</v>
      </c>
      <c r="G608" s="20">
        <f t="shared" si="9"/>
        <v>517.4257641921397</v>
      </c>
      <c r="H608" s="20" t="s">
        <v>86</v>
      </c>
    </row>
    <row r="609" spans="1:8" x14ac:dyDescent="0.25">
      <c r="A609" s="57">
        <v>8274</v>
      </c>
      <c r="B609" s="57" t="s">
        <v>339</v>
      </c>
      <c r="C609" s="60">
        <v>2004</v>
      </c>
      <c r="D609" s="60">
        <v>4318</v>
      </c>
      <c r="E609" s="60">
        <v>198757</v>
      </c>
      <c r="F609" s="64">
        <v>1538378</v>
      </c>
      <c r="G609" s="20">
        <f t="shared" si="9"/>
        <v>356.27095877721166</v>
      </c>
      <c r="H609" s="20" t="s">
        <v>86</v>
      </c>
    </row>
    <row r="610" spans="1:8" x14ac:dyDescent="0.25">
      <c r="A610" s="50">
        <v>17194</v>
      </c>
      <c r="B610" s="50" t="s">
        <v>587</v>
      </c>
      <c r="C610" s="51">
        <v>1990</v>
      </c>
      <c r="D610" s="52">
        <v>123</v>
      </c>
      <c r="E610" s="51">
        <v>3028</v>
      </c>
      <c r="F610" s="51">
        <v>19684</v>
      </c>
      <c r="G610" s="20">
        <f t="shared" si="9"/>
        <v>160.03252032520325</v>
      </c>
      <c r="H610" s="20" t="s">
        <v>479</v>
      </c>
    </row>
    <row r="611" spans="1:8" x14ac:dyDescent="0.25">
      <c r="A611" s="57">
        <v>8276</v>
      </c>
      <c r="B611" s="57" t="s">
        <v>340</v>
      </c>
      <c r="C611" s="60">
        <v>2009</v>
      </c>
      <c r="D611" s="57">
        <v>171</v>
      </c>
      <c r="E611" s="60">
        <v>20742</v>
      </c>
      <c r="F611" s="64">
        <v>104745</v>
      </c>
      <c r="G611" s="20">
        <f t="shared" si="9"/>
        <v>612.54385964912285</v>
      </c>
      <c r="H611" s="20" t="s">
        <v>86</v>
      </c>
    </row>
    <row r="612" spans="1:8" x14ac:dyDescent="0.25">
      <c r="A612" s="57">
        <v>8277</v>
      </c>
      <c r="B612" s="57" t="s">
        <v>341</v>
      </c>
      <c r="C612" s="60">
        <v>2005</v>
      </c>
      <c r="D612" s="57">
        <v>397</v>
      </c>
      <c r="E612" s="60">
        <v>21253</v>
      </c>
      <c r="F612" s="64">
        <v>133893</v>
      </c>
      <c r="G612" s="20">
        <f t="shared" si="9"/>
        <v>337.26196473551636</v>
      </c>
      <c r="H612" s="20" t="s">
        <v>86</v>
      </c>
    </row>
    <row r="613" spans="1:8" x14ac:dyDescent="0.25">
      <c r="A613" s="53">
        <v>17195</v>
      </c>
      <c r="B613" s="53" t="s">
        <v>588</v>
      </c>
      <c r="C613" s="54">
        <v>1999</v>
      </c>
      <c r="D613" s="55">
        <v>464</v>
      </c>
      <c r="E613" s="54">
        <v>31399</v>
      </c>
      <c r="F613" s="54">
        <v>178974</v>
      </c>
      <c r="G613" s="20">
        <f t="shared" si="9"/>
        <v>385.71982758620692</v>
      </c>
      <c r="H613" s="20" t="s">
        <v>479</v>
      </c>
    </row>
    <row r="614" spans="1:8" x14ac:dyDescent="0.25">
      <c r="A614" s="57">
        <v>8278</v>
      </c>
      <c r="B614" s="57" t="s">
        <v>342</v>
      </c>
      <c r="C614" s="60">
        <v>1987</v>
      </c>
      <c r="D614" s="60">
        <v>4224</v>
      </c>
      <c r="E614" s="60">
        <v>221663</v>
      </c>
      <c r="F614" s="64">
        <v>1407557</v>
      </c>
      <c r="G614" s="20">
        <f t="shared" si="9"/>
        <v>333.22845643939394</v>
      </c>
      <c r="H614" s="20" t="s">
        <v>86</v>
      </c>
    </row>
    <row r="615" spans="1:8" x14ac:dyDescent="0.25">
      <c r="A615" s="65">
        <v>43148</v>
      </c>
      <c r="B615" s="65" t="s">
        <v>778</v>
      </c>
      <c r="C615" s="66">
        <v>2001</v>
      </c>
      <c r="D615" s="114">
        <v>96133</v>
      </c>
      <c r="E615" s="114">
        <v>5517685</v>
      </c>
      <c r="F615" s="115">
        <v>52583539</v>
      </c>
      <c r="G615" s="20">
        <f t="shared" si="9"/>
        <v>546.98739246668674</v>
      </c>
      <c r="H615" s="20" t="s">
        <v>778</v>
      </c>
    </row>
    <row r="616" spans="1:8" x14ac:dyDescent="0.25">
      <c r="A616" s="57">
        <v>8275</v>
      </c>
      <c r="B616" s="57" t="s">
        <v>343</v>
      </c>
      <c r="C616" s="60">
        <v>1989</v>
      </c>
      <c r="D616" s="57">
        <v>256</v>
      </c>
      <c r="E616" s="60">
        <v>10285</v>
      </c>
      <c r="F616" s="64">
        <v>92566</v>
      </c>
      <c r="G616" s="20">
        <f t="shared" si="9"/>
        <v>361.5859375</v>
      </c>
      <c r="H616" s="20" t="s">
        <v>86</v>
      </c>
    </row>
    <row r="617" spans="1:8" x14ac:dyDescent="0.25">
      <c r="A617" s="57">
        <v>8280</v>
      </c>
      <c r="B617" s="57" t="s">
        <v>344</v>
      </c>
      <c r="C617" s="60">
        <v>1989</v>
      </c>
      <c r="D617" s="57">
        <v>279</v>
      </c>
      <c r="E617" s="60">
        <v>10740</v>
      </c>
      <c r="F617" s="64">
        <v>107402</v>
      </c>
      <c r="G617" s="20">
        <f t="shared" si="9"/>
        <v>384.95340501792117</v>
      </c>
      <c r="H617" s="20" t="s">
        <v>86</v>
      </c>
    </row>
    <row r="618" spans="1:8" x14ac:dyDescent="0.25">
      <c r="A618" s="57">
        <v>8281</v>
      </c>
      <c r="B618" s="57" t="s">
        <v>345</v>
      </c>
      <c r="C618" s="60">
        <v>2011</v>
      </c>
      <c r="D618" s="60">
        <v>3585</v>
      </c>
      <c r="E618" s="60">
        <v>417733</v>
      </c>
      <c r="F618" s="64">
        <v>3103469</v>
      </c>
      <c r="G618" s="20">
        <f t="shared" si="9"/>
        <v>865.68172942817296</v>
      </c>
      <c r="H618" s="20" t="s">
        <v>86</v>
      </c>
    </row>
    <row r="619" spans="1:8" x14ac:dyDescent="0.25">
      <c r="A619" s="50">
        <v>17196</v>
      </c>
      <c r="B619" s="50" t="s">
        <v>589</v>
      </c>
      <c r="C619" s="51">
        <v>2008</v>
      </c>
      <c r="D619" s="52">
        <v>208</v>
      </c>
      <c r="E619" s="51">
        <v>11672</v>
      </c>
      <c r="F619" s="51">
        <v>56023</v>
      </c>
      <c r="G619" s="20">
        <f t="shared" si="9"/>
        <v>269.34134615384613</v>
      </c>
      <c r="H619" s="20" t="s">
        <v>479</v>
      </c>
    </row>
    <row r="620" spans="1:8" x14ac:dyDescent="0.25">
      <c r="A620" s="57">
        <v>8279</v>
      </c>
      <c r="B620" s="57" t="s">
        <v>346</v>
      </c>
      <c r="C620" s="60">
        <v>2018</v>
      </c>
      <c r="D620" s="60">
        <v>156164</v>
      </c>
      <c r="E620" s="60">
        <v>9010963</v>
      </c>
      <c r="F620" s="64">
        <v>51904430</v>
      </c>
      <c r="G620" s="20">
        <f t="shared" si="9"/>
        <v>332.37128915755233</v>
      </c>
      <c r="H620" s="20" t="s">
        <v>86</v>
      </c>
    </row>
    <row r="621" spans="1:8" x14ac:dyDescent="0.25">
      <c r="A621" s="57">
        <v>8282</v>
      </c>
      <c r="B621" s="57" t="s">
        <v>347</v>
      </c>
      <c r="C621" s="60">
        <v>2006</v>
      </c>
      <c r="D621" s="60">
        <v>4867</v>
      </c>
      <c r="E621" s="60">
        <v>606207</v>
      </c>
      <c r="F621" s="64">
        <v>3261391</v>
      </c>
      <c r="G621" s="20">
        <f t="shared" si="9"/>
        <v>670.10293815492093</v>
      </c>
      <c r="H621" s="20" t="s">
        <v>86</v>
      </c>
    </row>
    <row r="622" spans="1:8" x14ac:dyDescent="0.25">
      <c r="A622" s="67">
        <v>43149</v>
      </c>
      <c r="B622" s="67" t="s">
        <v>779</v>
      </c>
      <c r="C622" s="68">
        <v>1990</v>
      </c>
      <c r="D622" s="114">
        <v>888</v>
      </c>
      <c r="E622" s="114">
        <v>15322</v>
      </c>
      <c r="F622" s="115">
        <v>168545.01</v>
      </c>
      <c r="G622" s="20">
        <f t="shared" si="9"/>
        <v>189.8029391891892</v>
      </c>
      <c r="H622" s="20" t="s">
        <v>778</v>
      </c>
    </row>
    <row r="623" spans="1:8" x14ac:dyDescent="0.25">
      <c r="A623" s="65">
        <v>43150</v>
      </c>
      <c r="B623" s="65" t="s">
        <v>780</v>
      </c>
      <c r="C623" s="66">
        <v>1990</v>
      </c>
      <c r="D623" s="114">
        <v>1766</v>
      </c>
      <c r="E623" s="114">
        <v>61001</v>
      </c>
      <c r="F623" s="115">
        <v>341608.1</v>
      </c>
      <c r="G623" s="20">
        <f t="shared" si="9"/>
        <v>193.43607021517553</v>
      </c>
      <c r="H623" s="20" t="s">
        <v>778</v>
      </c>
    </row>
    <row r="624" spans="1:8" x14ac:dyDescent="0.25">
      <c r="A624" s="57">
        <v>8283</v>
      </c>
      <c r="B624" s="57" t="s">
        <v>348</v>
      </c>
      <c r="C624" s="60">
        <v>1988</v>
      </c>
      <c r="D624" s="60">
        <v>5440</v>
      </c>
      <c r="E624" s="60">
        <v>248462</v>
      </c>
      <c r="F624" s="64">
        <v>2062233</v>
      </c>
      <c r="G624" s="20">
        <f t="shared" si="9"/>
        <v>379.08694852941176</v>
      </c>
      <c r="H624" s="20" t="s">
        <v>86</v>
      </c>
    </row>
    <row r="625" spans="1:8" x14ac:dyDescent="0.25">
      <c r="A625" s="57">
        <v>8284</v>
      </c>
      <c r="B625" s="57" t="s">
        <v>349</v>
      </c>
      <c r="C625" s="60">
        <v>2000</v>
      </c>
      <c r="D625" s="60">
        <v>14278</v>
      </c>
      <c r="E625" s="60">
        <v>760806</v>
      </c>
      <c r="F625" s="64">
        <v>6299471</v>
      </c>
      <c r="G625" s="20">
        <f t="shared" si="9"/>
        <v>441.20121865807533</v>
      </c>
      <c r="H625" s="20" t="s">
        <v>86</v>
      </c>
    </row>
    <row r="626" spans="1:8" x14ac:dyDescent="0.25">
      <c r="A626" s="57">
        <v>8285</v>
      </c>
      <c r="B626" s="57" t="s">
        <v>350</v>
      </c>
      <c r="C626" s="60">
        <v>2007</v>
      </c>
      <c r="D626" s="60">
        <v>9917</v>
      </c>
      <c r="E626" s="60">
        <v>474108</v>
      </c>
      <c r="F626" s="64">
        <v>4470413</v>
      </c>
      <c r="G626" s="20">
        <f t="shared" si="9"/>
        <v>450.78279721690029</v>
      </c>
      <c r="H626" s="20" t="s">
        <v>86</v>
      </c>
    </row>
    <row r="627" spans="1:8" x14ac:dyDescent="0.25">
      <c r="A627" s="57">
        <v>8286</v>
      </c>
      <c r="B627" s="57" t="s">
        <v>351</v>
      </c>
      <c r="C627" s="60">
        <v>2012</v>
      </c>
      <c r="D627" s="60">
        <v>2699</v>
      </c>
      <c r="E627" s="60">
        <v>152649</v>
      </c>
      <c r="F627" s="64">
        <v>855815</v>
      </c>
      <c r="G627" s="20">
        <f t="shared" si="9"/>
        <v>317.08595776213411</v>
      </c>
      <c r="H627" s="20" t="s">
        <v>86</v>
      </c>
    </row>
    <row r="628" spans="1:8" x14ac:dyDescent="0.25">
      <c r="A628" s="67">
        <v>43151</v>
      </c>
      <c r="B628" s="67" t="s">
        <v>781</v>
      </c>
      <c r="C628" s="68">
        <v>1989</v>
      </c>
      <c r="D628" s="114">
        <v>139</v>
      </c>
      <c r="E628" s="114">
        <v>2643</v>
      </c>
      <c r="F628" s="115">
        <v>14536.16</v>
      </c>
      <c r="G628" s="20">
        <f t="shared" si="9"/>
        <v>104.57669064748201</v>
      </c>
      <c r="H628" s="20" t="s">
        <v>778</v>
      </c>
    </row>
    <row r="629" spans="1:8" x14ac:dyDescent="0.25">
      <c r="A629" s="65">
        <v>43152</v>
      </c>
      <c r="B629" s="65" t="s">
        <v>782</v>
      </c>
      <c r="C629" s="66">
        <v>1988</v>
      </c>
      <c r="D629" s="114">
        <v>560</v>
      </c>
      <c r="E629" s="114">
        <v>17285</v>
      </c>
      <c r="F629" s="115">
        <v>77783.64</v>
      </c>
      <c r="G629" s="20">
        <f t="shared" si="9"/>
        <v>138.89935714285716</v>
      </c>
      <c r="H629" s="20" t="s">
        <v>778</v>
      </c>
    </row>
    <row r="630" spans="1:8" x14ac:dyDescent="0.25">
      <c r="A630" s="67">
        <v>43153</v>
      </c>
      <c r="B630" s="67" t="s">
        <v>783</v>
      </c>
      <c r="C630" s="68">
        <v>2003</v>
      </c>
      <c r="D630" s="116">
        <v>21727</v>
      </c>
      <c r="E630" s="116">
        <v>1127760</v>
      </c>
      <c r="F630" s="117">
        <v>9922166.4100000001</v>
      </c>
      <c r="G630" s="20">
        <f t="shared" si="9"/>
        <v>456.67447921940442</v>
      </c>
      <c r="H630" s="20" t="s">
        <v>778</v>
      </c>
    </row>
    <row r="631" spans="1:8" x14ac:dyDescent="0.25">
      <c r="A631" s="57">
        <v>8287</v>
      </c>
      <c r="B631" s="57" t="s">
        <v>352</v>
      </c>
      <c r="C631" s="60">
        <v>1988</v>
      </c>
      <c r="D631" s="60">
        <v>1110</v>
      </c>
      <c r="E631" s="60">
        <v>64163</v>
      </c>
      <c r="F631" s="64">
        <v>368294</v>
      </c>
      <c r="G631" s="20">
        <f t="shared" si="9"/>
        <v>331.7963963963964</v>
      </c>
      <c r="H631" s="20" t="s">
        <v>86</v>
      </c>
    </row>
    <row r="632" spans="1:8" x14ac:dyDescent="0.25">
      <c r="A632" s="57">
        <v>8288</v>
      </c>
      <c r="B632" s="57" t="s">
        <v>353</v>
      </c>
      <c r="C632" s="60">
        <v>1988</v>
      </c>
      <c r="D632" s="60">
        <v>2385</v>
      </c>
      <c r="E632" s="60">
        <v>78303</v>
      </c>
      <c r="F632" s="64">
        <v>757973</v>
      </c>
      <c r="G632" s="20">
        <f t="shared" si="9"/>
        <v>317.80838574423478</v>
      </c>
      <c r="H632" s="20" t="s">
        <v>86</v>
      </c>
    </row>
    <row r="633" spans="1:8" x14ac:dyDescent="0.25">
      <c r="A633" s="57">
        <v>8289</v>
      </c>
      <c r="B633" s="57" t="s">
        <v>354</v>
      </c>
      <c r="C633" s="60">
        <v>1995</v>
      </c>
      <c r="D633" s="60">
        <v>3370</v>
      </c>
      <c r="E633" s="60">
        <v>250321</v>
      </c>
      <c r="F633" s="64">
        <v>2037609</v>
      </c>
      <c r="G633" s="20">
        <f t="shared" si="9"/>
        <v>604.63175074183971</v>
      </c>
      <c r="H633" s="20" t="s">
        <v>86</v>
      </c>
    </row>
    <row r="634" spans="1:8" x14ac:dyDescent="0.25">
      <c r="A634" s="53">
        <v>17197</v>
      </c>
      <c r="B634" s="53" t="s">
        <v>590</v>
      </c>
      <c r="C634" s="54">
        <v>1989</v>
      </c>
      <c r="D634" s="55">
        <v>213</v>
      </c>
      <c r="E634" s="54">
        <v>17438</v>
      </c>
      <c r="F634" s="54">
        <v>137234</v>
      </c>
      <c r="G634" s="20">
        <f t="shared" si="9"/>
        <v>644.29107981220659</v>
      </c>
      <c r="H634" s="20" t="s">
        <v>479</v>
      </c>
    </row>
    <row r="635" spans="1:8" x14ac:dyDescent="0.25">
      <c r="A635" s="50">
        <v>17198</v>
      </c>
      <c r="B635" s="50" t="s">
        <v>591</v>
      </c>
      <c r="C635" s="51">
        <v>1989</v>
      </c>
      <c r="D635" s="52">
        <v>601</v>
      </c>
      <c r="E635" s="51">
        <v>27901</v>
      </c>
      <c r="F635" s="51">
        <v>195307</v>
      </c>
      <c r="G635" s="20">
        <f t="shared" si="9"/>
        <v>324.97004991680535</v>
      </c>
      <c r="H635" s="20" t="s">
        <v>479</v>
      </c>
    </row>
    <row r="636" spans="1:8" x14ac:dyDescent="0.25">
      <c r="A636" s="53">
        <v>17199</v>
      </c>
      <c r="B636" s="53" t="s">
        <v>592</v>
      </c>
      <c r="C636" s="54">
        <v>1986</v>
      </c>
      <c r="D636" s="54">
        <v>15968</v>
      </c>
      <c r="E636" s="54">
        <v>537003</v>
      </c>
      <c r="F636" s="54">
        <v>6229239</v>
      </c>
      <c r="G636" s="20">
        <f t="shared" si="9"/>
        <v>390.10765280561122</v>
      </c>
      <c r="H636" s="20" t="s">
        <v>479</v>
      </c>
    </row>
    <row r="637" spans="1:8" x14ac:dyDescent="0.25">
      <c r="A637" s="65">
        <v>43154</v>
      </c>
      <c r="B637" s="65" t="s">
        <v>784</v>
      </c>
      <c r="C637" s="66">
        <v>1990</v>
      </c>
      <c r="D637" s="114">
        <v>250</v>
      </c>
      <c r="E637" s="114">
        <v>8014</v>
      </c>
      <c r="F637" s="115">
        <v>56098.29</v>
      </c>
      <c r="G637" s="20">
        <f t="shared" si="9"/>
        <v>224.39315999999999</v>
      </c>
      <c r="H637" s="20" t="s">
        <v>778</v>
      </c>
    </row>
    <row r="638" spans="1:8" x14ac:dyDescent="0.25">
      <c r="A638" s="50">
        <v>17200</v>
      </c>
      <c r="B638" s="50" t="s">
        <v>593</v>
      </c>
      <c r="C638" s="51">
        <v>1987</v>
      </c>
      <c r="D638" s="52">
        <v>525</v>
      </c>
      <c r="E638" s="51">
        <v>28591</v>
      </c>
      <c r="F638" s="51">
        <v>177265</v>
      </c>
      <c r="G638" s="20">
        <f t="shared" si="9"/>
        <v>337.64761904761906</v>
      </c>
      <c r="H638" s="20" t="s">
        <v>479</v>
      </c>
    </row>
    <row r="639" spans="1:8" x14ac:dyDescent="0.25">
      <c r="A639" s="67">
        <v>43155</v>
      </c>
      <c r="B639" s="67" t="s">
        <v>785</v>
      </c>
      <c r="C639" s="68">
        <v>1999</v>
      </c>
      <c r="D639" s="114">
        <v>28767</v>
      </c>
      <c r="E639" s="114">
        <v>937658</v>
      </c>
      <c r="F639" s="115">
        <v>9245305.1400000006</v>
      </c>
      <c r="G639" s="20">
        <f t="shared" si="9"/>
        <v>321.38579413911776</v>
      </c>
      <c r="H639" s="20" t="s">
        <v>778</v>
      </c>
    </row>
    <row r="640" spans="1:8" x14ac:dyDescent="0.25">
      <c r="A640" s="53">
        <v>17201</v>
      </c>
      <c r="B640" s="53" t="s">
        <v>594</v>
      </c>
      <c r="C640" s="54">
        <v>1989</v>
      </c>
      <c r="D640" s="55">
        <v>415</v>
      </c>
      <c r="E640" s="54">
        <v>15127</v>
      </c>
      <c r="F640" s="54">
        <v>73592</v>
      </c>
      <c r="G640" s="20">
        <f t="shared" si="9"/>
        <v>177.33012048192771</v>
      </c>
      <c r="H640" s="20" t="s">
        <v>479</v>
      </c>
    </row>
    <row r="641" spans="1:8" x14ac:dyDescent="0.25">
      <c r="A641" s="50">
        <v>17202</v>
      </c>
      <c r="B641" s="50" t="s">
        <v>595</v>
      </c>
      <c r="C641" s="51">
        <v>1990</v>
      </c>
      <c r="D641" s="51">
        <v>10825</v>
      </c>
      <c r="E641" s="51">
        <v>542806</v>
      </c>
      <c r="F641" s="51">
        <v>5319495</v>
      </c>
      <c r="G641" s="20">
        <f t="shared" si="9"/>
        <v>491.40831408775983</v>
      </c>
      <c r="H641" s="20" t="s">
        <v>479</v>
      </c>
    </row>
    <row r="642" spans="1:8" x14ac:dyDescent="0.25">
      <c r="A642" s="53">
        <v>17204</v>
      </c>
      <c r="B642" s="53" t="s">
        <v>596</v>
      </c>
      <c r="C642" s="54">
        <v>1989</v>
      </c>
      <c r="D642" s="55">
        <v>644</v>
      </c>
      <c r="E642" s="54">
        <v>37990</v>
      </c>
      <c r="F642" s="54">
        <v>265931</v>
      </c>
      <c r="G642" s="20">
        <f t="shared" ref="G642:G705" si="10">F642/D642</f>
        <v>412.93633540372673</v>
      </c>
      <c r="H642" s="20" t="s">
        <v>479</v>
      </c>
    </row>
    <row r="643" spans="1:8" x14ac:dyDescent="0.25">
      <c r="A643" s="57">
        <v>8290</v>
      </c>
      <c r="B643" s="57" t="s">
        <v>355</v>
      </c>
      <c r="C643" s="60">
        <v>1995</v>
      </c>
      <c r="D643" s="60">
        <v>1221</v>
      </c>
      <c r="E643" s="60">
        <v>88433</v>
      </c>
      <c r="F643" s="64">
        <v>688255</v>
      </c>
      <c r="G643" s="20">
        <f t="shared" si="10"/>
        <v>563.6814086814087</v>
      </c>
      <c r="H643" s="20" t="s">
        <v>86</v>
      </c>
    </row>
    <row r="644" spans="1:8" x14ac:dyDescent="0.25">
      <c r="A644" s="50">
        <v>17205</v>
      </c>
      <c r="B644" s="50" t="s">
        <v>597</v>
      </c>
      <c r="C644" s="51">
        <v>1989</v>
      </c>
      <c r="D644" s="52">
        <v>207</v>
      </c>
      <c r="E644" s="51">
        <v>15964</v>
      </c>
      <c r="F644" s="51">
        <v>79020</v>
      </c>
      <c r="G644" s="20">
        <f t="shared" si="10"/>
        <v>381.73913043478262</v>
      </c>
      <c r="H644" s="20" t="s">
        <v>479</v>
      </c>
    </row>
    <row r="645" spans="1:8" x14ac:dyDescent="0.25">
      <c r="A645" s="65">
        <v>43156</v>
      </c>
      <c r="B645" s="65" t="s">
        <v>786</v>
      </c>
      <c r="C645" s="66">
        <v>1986</v>
      </c>
      <c r="D645" s="114">
        <v>6059</v>
      </c>
      <c r="E645" s="114">
        <v>161559</v>
      </c>
      <c r="F645" s="115">
        <v>1324783.6499999999</v>
      </c>
      <c r="G645" s="20">
        <f t="shared" si="10"/>
        <v>218.64724376959893</v>
      </c>
      <c r="H645" s="20" t="s">
        <v>778</v>
      </c>
    </row>
    <row r="646" spans="1:8" x14ac:dyDescent="0.25">
      <c r="A646" s="67">
        <v>43157</v>
      </c>
      <c r="B646" s="67" t="s">
        <v>787</v>
      </c>
      <c r="C646" s="68">
        <v>1990</v>
      </c>
      <c r="D646" s="114">
        <v>579</v>
      </c>
      <c r="E646" s="114">
        <v>13996</v>
      </c>
      <c r="F646" s="115">
        <v>90973.119999999995</v>
      </c>
      <c r="G646" s="20">
        <f t="shared" si="10"/>
        <v>157.12110535405873</v>
      </c>
      <c r="H646" s="20" t="s">
        <v>778</v>
      </c>
    </row>
    <row r="647" spans="1:8" x14ac:dyDescent="0.25">
      <c r="A647" s="53">
        <v>17203</v>
      </c>
      <c r="B647" s="53" t="s">
        <v>598</v>
      </c>
      <c r="C647" s="54">
        <v>1989</v>
      </c>
      <c r="D647" s="55">
        <v>147</v>
      </c>
      <c r="E647" s="54">
        <v>6601</v>
      </c>
      <c r="F647" s="54">
        <v>49508</v>
      </c>
      <c r="G647" s="20">
        <f t="shared" si="10"/>
        <v>336.78911564625849</v>
      </c>
      <c r="H647" s="20" t="s">
        <v>479</v>
      </c>
    </row>
    <row r="648" spans="1:8" x14ac:dyDescent="0.25">
      <c r="A648" s="50">
        <v>17206</v>
      </c>
      <c r="B648" s="50" t="s">
        <v>599</v>
      </c>
      <c r="C648" s="51">
        <v>1989</v>
      </c>
      <c r="D648" s="52">
        <v>426</v>
      </c>
      <c r="E648" s="51">
        <v>28196</v>
      </c>
      <c r="F648" s="51">
        <v>149436</v>
      </c>
      <c r="G648" s="20">
        <f t="shared" si="10"/>
        <v>350.78873239436621</v>
      </c>
      <c r="H648" s="20" t="s">
        <v>479</v>
      </c>
    </row>
    <row r="649" spans="1:8" x14ac:dyDescent="0.25">
      <c r="A649" s="57">
        <v>8291</v>
      </c>
      <c r="B649" s="57" t="s">
        <v>356</v>
      </c>
      <c r="C649" s="60">
        <v>2001</v>
      </c>
      <c r="D649" s="60">
        <v>4282</v>
      </c>
      <c r="E649" s="60">
        <v>303506</v>
      </c>
      <c r="F649" s="64">
        <v>2656510</v>
      </c>
      <c r="G649" s="20">
        <f t="shared" si="10"/>
        <v>620.39000467071457</v>
      </c>
      <c r="H649" s="20" t="s">
        <v>86</v>
      </c>
    </row>
    <row r="650" spans="1:8" x14ac:dyDescent="0.25">
      <c r="A650" s="53">
        <v>17014</v>
      </c>
      <c r="B650" s="53" t="s">
        <v>600</v>
      </c>
      <c r="C650" s="54">
        <v>1989</v>
      </c>
      <c r="D650" s="55">
        <v>168</v>
      </c>
      <c r="E650" s="54">
        <v>5124</v>
      </c>
      <c r="F650" s="54">
        <v>46113</v>
      </c>
      <c r="G650" s="20">
        <f t="shared" si="10"/>
        <v>274.48214285714283</v>
      </c>
      <c r="H650" s="20" t="s">
        <v>479</v>
      </c>
    </row>
    <row r="651" spans="1:8" x14ac:dyDescent="0.25">
      <c r="A651" s="50">
        <v>17208</v>
      </c>
      <c r="B651" s="50" t="s">
        <v>601</v>
      </c>
      <c r="C651" s="51">
        <v>1987</v>
      </c>
      <c r="D651" s="52">
        <v>858</v>
      </c>
      <c r="E651" s="51">
        <v>73651</v>
      </c>
      <c r="F651" s="51">
        <v>368256</v>
      </c>
      <c r="G651" s="20">
        <f t="shared" si="10"/>
        <v>429.20279720279723</v>
      </c>
      <c r="H651" s="20" t="s">
        <v>479</v>
      </c>
    </row>
    <row r="652" spans="1:8" x14ac:dyDescent="0.25">
      <c r="A652" s="53">
        <v>17207</v>
      </c>
      <c r="B652" s="53" t="s">
        <v>602</v>
      </c>
      <c r="C652" s="54">
        <v>2000</v>
      </c>
      <c r="D652" s="54">
        <v>2213</v>
      </c>
      <c r="E652" s="54">
        <v>134140</v>
      </c>
      <c r="F652" s="54">
        <v>885326</v>
      </c>
      <c r="G652" s="20">
        <f t="shared" si="10"/>
        <v>400.05693628558515</v>
      </c>
      <c r="H652" s="20" t="s">
        <v>479</v>
      </c>
    </row>
    <row r="653" spans="1:8" x14ac:dyDescent="0.25">
      <c r="A653" s="57">
        <v>8292</v>
      </c>
      <c r="B653" s="57" t="s">
        <v>357</v>
      </c>
      <c r="C653" s="60">
        <v>1987</v>
      </c>
      <c r="D653" s="57">
        <v>815</v>
      </c>
      <c r="E653" s="60">
        <v>49514</v>
      </c>
      <c r="F653" s="64">
        <v>358838</v>
      </c>
      <c r="G653" s="20">
        <f t="shared" si="10"/>
        <v>440.29202453987727</v>
      </c>
      <c r="H653" s="20" t="s">
        <v>86</v>
      </c>
    </row>
    <row r="654" spans="1:8" x14ac:dyDescent="0.25">
      <c r="A654" s="57">
        <v>8293</v>
      </c>
      <c r="B654" s="57" t="s">
        <v>358</v>
      </c>
      <c r="C654" s="60">
        <v>1989</v>
      </c>
      <c r="D654" s="57">
        <v>338</v>
      </c>
      <c r="E654" s="60">
        <v>6354</v>
      </c>
      <c r="F654" s="64">
        <v>41300</v>
      </c>
      <c r="G654" s="20">
        <f t="shared" si="10"/>
        <v>122.18934911242603</v>
      </c>
      <c r="H654" s="20" t="s">
        <v>86</v>
      </c>
    </row>
    <row r="655" spans="1:8" x14ac:dyDescent="0.25">
      <c r="A655" s="65">
        <v>43158</v>
      </c>
      <c r="B655" s="65" t="s">
        <v>788</v>
      </c>
      <c r="C655" s="66">
        <v>1990</v>
      </c>
      <c r="D655" s="114">
        <v>206</v>
      </c>
      <c r="E655" s="114">
        <v>6645</v>
      </c>
      <c r="F655" s="115">
        <v>47842.13</v>
      </c>
      <c r="G655" s="20">
        <f t="shared" si="10"/>
        <v>232.24334951456311</v>
      </c>
      <c r="H655" s="20" t="s">
        <v>778</v>
      </c>
    </row>
    <row r="656" spans="1:8" x14ac:dyDescent="0.25">
      <c r="A656" s="50">
        <v>17170</v>
      </c>
      <c r="B656" s="50" t="s">
        <v>603</v>
      </c>
      <c r="C656" s="51">
        <v>2011</v>
      </c>
      <c r="D656" s="52">
        <v>175</v>
      </c>
      <c r="E656" s="51">
        <v>11849</v>
      </c>
      <c r="F656" s="51">
        <v>59922</v>
      </c>
      <c r="G656" s="20">
        <f t="shared" si="10"/>
        <v>342.41142857142859</v>
      </c>
      <c r="H656" s="20" t="s">
        <v>479</v>
      </c>
    </row>
    <row r="657" spans="1:8" x14ac:dyDescent="0.25">
      <c r="A657" s="67">
        <v>43159</v>
      </c>
      <c r="B657" s="67" t="s">
        <v>789</v>
      </c>
      <c r="C657" s="68">
        <v>1990</v>
      </c>
      <c r="D657" s="114">
        <v>245</v>
      </c>
      <c r="E657" s="114">
        <v>8469</v>
      </c>
      <c r="F657" s="115">
        <v>42342.65</v>
      </c>
      <c r="G657" s="20">
        <f t="shared" si="10"/>
        <v>172.82714285714286</v>
      </c>
      <c r="H657" s="20" t="s">
        <v>778</v>
      </c>
    </row>
    <row r="658" spans="1:8" x14ac:dyDescent="0.25">
      <c r="A658" s="57">
        <v>8294</v>
      </c>
      <c r="B658" s="57" t="s">
        <v>359</v>
      </c>
      <c r="C658" s="60">
        <v>1987</v>
      </c>
      <c r="D658" s="60">
        <v>2123</v>
      </c>
      <c r="E658" s="60">
        <v>131163</v>
      </c>
      <c r="F658" s="64">
        <v>911585</v>
      </c>
      <c r="G658" s="20">
        <f t="shared" si="10"/>
        <v>429.38530381535566</v>
      </c>
      <c r="H658" s="20" t="s">
        <v>86</v>
      </c>
    </row>
    <row r="659" spans="1:8" x14ac:dyDescent="0.25">
      <c r="A659" s="57">
        <v>8295</v>
      </c>
      <c r="B659" s="57" t="s">
        <v>360</v>
      </c>
      <c r="C659" s="60">
        <v>2004</v>
      </c>
      <c r="D659" s="60">
        <v>9329</v>
      </c>
      <c r="E659" s="60">
        <v>897347</v>
      </c>
      <c r="F659" s="64">
        <v>6101962</v>
      </c>
      <c r="G659" s="20">
        <f t="shared" si="10"/>
        <v>654.08532532961738</v>
      </c>
      <c r="H659" s="20" t="s">
        <v>86</v>
      </c>
    </row>
    <row r="660" spans="1:8" x14ac:dyDescent="0.25">
      <c r="A660" s="53">
        <v>17209</v>
      </c>
      <c r="B660" s="53" t="s">
        <v>604</v>
      </c>
      <c r="C660" s="54">
        <v>2009</v>
      </c>
      <c r="D660" s="55">
        <v>469</v>
      </c>
      <c r="E660" s="54">
        <v>69390</v>
      </c>
      <c r="F660" s="54">
        <v>437155</v>
      </c>
      <c r="G660" s="20">
        <f t="shared" si="10"/>
        <v>932.10021321961619</v>
      </c>
      <c r="H660" s="20" t="s">
        <v>479</v>
      </c>
    </row>
    <row r="661" spans="1:8" x14ac:dyDescent="0.25">
      <c r="A661" s="65">
        <v>43160</v>
      </c>
      <c r="B661" s="65" t="s">
        <v>790</v>
      </c>
      <c r="C661" s="66">
        <v>1990</v>
      </c>
      <c r="D661" s="114">
        <v>1399</v>
      </c>
      <c r="E661" s="114">
        <v>95036</v>
      </c>
      <c r="F661" s="115">
        <v>867624.36</v>
      </c>
      <c r="G661" s="20">
        <f t="shared" si="10"/>
        <v>620.17466761972833</v>
      </c>
      <c r="H661" s="20" t="s">
        <v>778</v>
      </c>
    </row>
    <row r="662" spans="1:8" x14ac:dyDescent="0.25">
      <c r="A662" s="57">
        <v>8296</v>
      </c>
      <c r="B662" s="57" t="s">
        <v>361</v>
      </c>
      <c r="C662" s="60">
        <v>2002</v>
      </c>
      <c r="D662" s="60">
        <v>1465</v>
      </c>
      <c r="E662" s="60">
        <v>163804</v>
      </c>
      <c r="F662" s="64">
        <v>1310431</v>
      </c>
      <c r="G662" s="20">
        <f t="shared" si="10"/>
        <v>894.49215017064842</v>
      </c>
      <c r="H662" s="20" t="s">
        <v>86</v>
      </c>
    </row>
    <row r="663" spans="1:8" x14ac:dyDescent="0.25">
      <c r="A663" s="67">
        <v>43161</v>
      </c>
      <c r="B663" s="67" t="s">
        <v>791</v>
      </c>
      <c r="C663" s="68">
        <v>1995</v>
      </c>
      <c r="D663" s="114">
        <v>20719</v>
      </c>
      <c r="E663" s="114">
        <v>1055029</v>
      </c>
      <c r="F663" s="115">
        <v>9970022.9800000004</v>
      </c>
      <c r="G663" s="20">
        <f t="shared" si="10"/>
        <v>481.20193928278394</v>
      </c>
      <c r="H663" s="20" t="s">
        <v>778</v>
      </c>
    </row>
    <row r="664" spans="1:8" x14ac:dyDescent="0.25">
      <c r="A664" s="65">
        <v>43162</v>
      </c>
      <c r="B664" s="65" t="s">
        <v>792</v>
      </c>
      <c r="C664" s="66">
        <v>1986</v>
      </c>
      <c r="D664" s="114">
        <v>9317</v>
      </c>
      <c r="E664" s="114">
        <v>307114</v>
      </c>
      <c r="F664" s="115">
        <v>1425821.29</v>
      </c>
      <c r="G664" s="20">
        <f t="shared" si="10"/>
        <v>153.03437694536868</v>
      </c>
      <c r="H664" s="20" t="s">
        <v>778</v>
      </c>
    </row>
    <row r="665" spans="1:8" x14ac:dyDescent="0.25">
      <c r="A665" s="57">
        <v>8297</v>
      </c>
      <c r="B665" s="57" t="s">
        <v>362</v>
      </c>
      <c r="C665" s="60">
        <v>1989</v>
      </c>
      <c r="D665" s="57">
        <v>202</v>
      </c>
      <c r="E665" s="60">
        <v>6056</v>
      </c>
      <c r="F665" s="64">
        <v>40395</v>
      </c>
      <c r="G665" s="20">
        <f t="shared" si="10"/>
        <v>199.97524752475246</v>
      </c>
      <c r="H665" s="20" t="s">
        <v>86</v>
      </c>
    </row>
    <row r="666" spans="1:8" x14ac:dyDescent="0.25">
      <c r="A666" s="67">
        <v>43163</v>
      </c>
      <c r="B666" s="67" t="s">
        <v>793</v>
      </c>
      <c r="C666" s="68">
        <v>1997</v>
      </c>
      <c r="D666" s="114">
        <v>49113</v>
      </c>
      <c r="E666" s="114">
        <v>1950181</v>
      </c>
      <c r="F666" s="115">
        <v>21594990.739999998</v>
      </c>
      <c r="G666" s="20">
        <f t="shared" si="10"/>
        <v>439.70009447600427</v>
      </c>
      <c r="H666" s="20" t="s">
        <v>778</v>
      </c>
    </row>
    <row r="667" spans="1:8" x14ac:dyDescent="0.25">
      <c r="A667" s="50">
        <v>17210</v>
      </c>
      <c r="B667" s="50" t="s">
        <v>605</v>
      </c>
      <c r="C667" s="51">
        <v>1989</v>
      </c>
      <c r="D667" s="52">
        <v>858</v>
      </c>
      <c r="E667" s="51">
        <v>43075</v>
      </c>
      <c r="F667" s="51">
        <v>284295</v>
      </c>
      <c r="G667" s="20">
        <f t="shared" si="10"/>
        <v>331.34615384615387</v>
      </c>
      <c r="H667" s="20" t="s">
        <v>479</v>
      </c>
    </row>
    <row r="668" spans="1:8" x14ac:dyDescent="0.25">
      <c r="A668" s="53">
        <v>17211</v>
      </c>
      <c r="B668" s="53" t="s">
        <v>606</v>
      </c>
      <c r="C668" s="54">
        <v>1989</v>
      </c>
      <c r="D668" s="55">
        <v>785</v>
      </c>
      <c r="E668" s="54">
        <v>31036</v>
      </c>
      <c r="F668" s="54">
        <v>220358</v>
      </c>
      <c r="G668" s="20">
        <f t="shared" si="10"/>
        <v>280.71082802547772</v>
      </c>
      <c r="H668" s="20" t="s">
        <v>479</v>
      </c>
    </row>
    <row r="669" spans="1:8" x14ac:dyDescent="0.25">
      <c r="A669" s="65">
        <v>43164</v>
      </c>
      <c r="B669" s="65" t="s">
        <v>794</v>
      </c>
      <c r="C669" s="66">
        <v>1990</v>
      </c>
      <c r="D669" s="114">
        <v>667</v>
      </c>
      <c r="E669" s="114">
        <v>21988</v>
      </c>
      <c r="F669" s="115">
        <v>186897.36</v>
      </c>
      <c r="G669" s="20">
        <f t="shared" si="10"/>
        <v>280.20593703148421</v>
      </c>
      <c r="H669" s="20" t="s">
        <v>778</v>
      </c>
    </row>
    <row r="670" spans="1:8" x14ac:dyDescent="0.25">
      <c r="A670" s="57">
        <v>8298</v>
      </c>
      <c r="B670" s="57" t="s">
        <v>363</v>
      </c>
      <c r="C670" s="60">
        <v>2005</v>
      </c>
      <c r="D670" s="60">
        <v>39905</v>
      </c>
      <c r="E670" s="60">
        <v>2287230</v>
      </c>
      <c r="F670" s="64">
        <v>13713942</v>
      </c>
      <c r="G670" s="20">
        <f t="shared" si="10"/>
        <v>343.66475379025184</v>
      </c>
      <c r="H670" s="20" t="s">
        <v>86</v>
      </c>
    </row>
    <row r="671" spans="1:8" x14ac:dyDescent="0.25">
      <c r="A671" s="50">
        <v>17212</v>
      </c>
      <c r="B671" s="50" t="s">
        <v>607</v>
      </c>
      <c r="C671" s="51">
        <v>1989</v>
      </c>
      <c r="D671" s="52">
        <v>181</v>
      </c>
      <c r="E671" s="51">
        <v>11595</v>
      </c>
      <c r="F671" s="51">
        <v>84645</v>
      </c>
      <c r="G671" s="20">
        <f t="shared" si="10"/>
        <v>467.65193370165747</v>
      </c>
      <c r="H671" s="20" t="s">
        <v>479</v>
      </c>
    </row>
    <row r="672" spans="1:8" x14ac:dyDescent="0.25">
      <c r="A672" s="53">
        <v>17213</v>
      </c>
      <c r="B672" s="53" t="s">
        <v>608</v>
      </c>
      <c r="C672" s="54">
        <v>2008</v>
      </c>
      <c r="D672" s="54">
        <v>6050</v>
      </c>
      <c r="E672" s="54">
        <v>363025</v>
      </c>
      <c r="F672" s="54">
        <v>2740839</v>
      </c>
      <c r="G672" s="20">
        <f t="shared" si="10"/>
        <v>453.0312396694215</v>
      </c>
      <c r="H672" s="20" t="s">
        <v>479</v>
      </c>
    </row>
    <row r="673" spans="1:8" x14ac:dyDescent="0.25">
      <c r="A673" s="67">
        <v>43165</v>
      </c>
      <c r="B673" s="67" t="s">
        <v>795</v>
      </c>
      <c r="C673" s="68">
        <v>1988</v>
      </c>
      <c r="D673" s="114">
        <v>664</v>
      </c>
      <c r="E673" s="114">
        <v>18768</v>
      </c>
      <c r="F673" s="115">
        <v>150146.68</v>
      </c>
      <c r="G673" s="20">
        <f t="shared" si="10"/>
        <v>226.12451807228913</v>
      </c>
      <c r="H673" s="20" t="s">
        <v>778</v>
      </c>
    </row>
    <row r="674" spans="1:8" x14ac:dyDescent="0.25">
      <c r="A674" s="50">
        <v>17214</v>
      </c>
      <c r="B674" s="50" t="s">
        <v>609</v>
      </c>
      <c r="C674" s="51">
        <v>1989</v>
      </c>
      <c r="D674" s="52">
        <v>566</v>
      </c>
      <c r="E674" s="51">
        <v>23367</v>
      </c>
      <c r="F674" s="51">
        <v>193944</v>
      </c>
      <c r="G674" s="20">
        <f t="shared" si="10"/>
        <v>342.65724381625444</v>
      </c>
      <c r="H674" s="20" t="s">
        <v>479</v>
      </c>
    </row>
    <row r="675" spans="1:8" x14ac:dyDescent="0.25">
      <c r="A675" s="53">
        <v>17215</v>
      </c>
      <c r="B675" s="53" t="s">
        <v>610</v>
      </c>
      <c r="C675" s="54">
        <v>2005</v>
      </c>
      <c r="D675" s="54">
        <v>1674</v>
      </c>
      <c r="E675" s="54">
        <v>167922</v>
      </c>
      <c r="F675" s="54">
        <v>1120125</v>
      </c>
      <c r="G675" s="20">
        <f t="shared" si="10"/>
        <v>669.13082437275989</v>
      </c>
      <c r="H675" s="20" t="s">
        <v>479</v>
      </c>
    </row>
    <row r="676" spans="1:8" x14ac:dyDescent="0.25">
      <c r="A676" s="57">
        <v>8299</v>
      </c>
      <c r="B676" s="57" t="s">
        <v>364</v>
      </c>
      <c r="C676" s="60">
        <v>2007</v>
      </c>
      <c r="D676" s="57">
        <v>385</v>
      </c>
      <c r="E676" s="60">
        <v>19870</v>
      </c>
      <c r="F676" s="64">
        <v>149023</v>
      </c>
      <c r="G676" s="20">
        <f t="shared" si="10"/>
        <v>387.07272727272726</v>
      </c>
      <c r="H676" s="20" t="s">
        <v>86</v>
      </c>
    </row>
    <row r="677" spans="1:8" x14ac:dyDescent="0.25">
      <c r="A677" s="50">
        <v>17217</v>
      </c>
      <c r="B677" s="50" t="s">
        <v>611</v>
      </c>
      <c r="C677" s="51">
        <v>1989</v>
      </c>
      <c r="D677" s="52">
        <v>406</v>
      </c>
      <c r="E677" s="51">
        <v>18747</v>
      </c>
      <c r="F677" s="51">
        <v>133103</v>
      </c>
      <c r="G677" s="20">
        <f t="shared" si="10"/>
        <v>327.83990147783248</v>
      </c>
      <c r="H677" s="20" t="s">
        <v>479</v>
      </c>
    </row>
    <row r="678" spans="1:8" x14ac:dyDescent="0.25">
      <c r="A678" s="53">
        <v>17216</v>
      </c>
      <c r="B678" s="53" t="s">
        <v>612</v>
      </c>
      <c r="C678" s="54">
        <v>1989</v>
      </c>
      <c r="D678" s="55">
        <v>146</v>
      </c>
      <c r="E678" s="54">
        <v>7543</v>
      </c>
      <c r="F678" s="54">
        <v>48277</v>
      </c>
      <c r="G678" s="20">
        <f t="shared" si="10"/>
        <v>330.66438356164383</v>
      </c>
      <c r="H678" s="20" t="s">
        <v>479</v>
      </c>
    </row>
    <row r="679" spans="1:8" x14ac:dyDescent="0.25">
      <c r="A679" s="57">
        <v>8301</v>
      </c>
      <c r="B679" s="57" t="s">
        <v>365</v>
      </c>
      <c r="C679" s="60">
        <v>2006</v>
      </c>
      <c r="D679" s="60">
        <v>44427</v>
      </c>
      <c r="E679" s="60">
        <v>3856172</v>
      </c>
      <c r="F679" s="64">
        <v>25522226</v>
      </c>
      <c r="G679" s="20">
        <f t="shared" si="10"/>
        <v>574.47556665991397</v>
      </c>
      <c r="H679" s="20" t="s">
        <v>86</v>
      </c>
    </row>
    <row r="680" spans="1:8" x14ac:dyDescent="0.25">
      <c r="A680" s="57">
        <v>8300</v>
      </c>
      <c r="B680" s="57" t="s">
        <v>366</v>
      </c>
      <c r="C680" s="60">
        <v>2005</v>
      </c>
      <c r="D680" s="60">
        <v>3784</v>
      </c>
      <c r="E680" s="60">
        <v>534080</v>
      </c>
      <c r="F680" s="64">
        <v>3526819</v>
      </c>
      <c r="G680" s="20">
        <f t="shared" si="10"/>
        <v>932.03461945031711</v>
      </c>
      <c r="H680" s="20" t="s">
        <v>86</v>
      </c>
    </row>
    <row r="681" spans="1:8" x14ac:dyDescent="0.25">
      <c r="A681" s="50">
        <v>17218</v>
      </c>
      <c r="B681" s="50" t="s">
        <v>613</v>
      </c>
      <c r="C681" s="51">
        <v>1989</v>
      </c>
      <c r="D681" s="52">
        <v>554</v>
      </c>
      <c r="E681" s="51">
        <v>29813</v>
      </c>
      <c r="F681" s="51">
        <v>178877</v>
      </c>
      <c r="G681" s="20">
        <f t="shared" si="10"/>
        <v>322.88267148014438</v>
      </c>
      <c r="H681" s="20" t="s">
        <v>479</v>
      </c>
    </row>
    <row r="682" spans="1:8" x14ac:dyDescent="0.25">
      <c r="A682" s="53">
        <v>17220</v>
      </c>
      <c r="B682" s="53" t="s">
        <v>614</v>
      </c>
      <c r="C682" s="54">
        <v>1989</v>
      </c>
      <c r="D682" s="54">
        <v>1527</v>
      </c>
      <c r="E682" s="54">
        <v>96251</v>
      </c>
      <c r="F682" s="54">
        <v>706627</v>
      </c>
      <c r="G682" s="20">
        <f t="shared" si="10"/>
        <v>462.75507531106746</v>
      </c>
      <c r="H682" s="20" t="s">
        <v>479</v>
      </c>
    </row>
    <row r="683" spans="1:8" x14ac:dyDescent="0.25">
      <c r="A683" s="50">
        <v>17221</v>
      </c>
      <c r="B683" s="50" t="s">
        <v>615</v>
      </c>
      <c r="C683" s="51">
        <v>1997</v>
      </c>
      <c r="D683" s="51">
        <v>2828</v>
      </c>
      <c r="E683" s="51">
        <v>188710</v>
      </c>
      <c r="F683" s="51">
        <v>1396456</v>
      </c>
      <c r="G683" s="20">
        <f t="shared" si="10"/>
        <v>493.7963224893918</v>
      </c>
      <c r="H683" s="20" t="s">
        <v>479</v>
      </c>
    </row>
    <row r="684" spans="1:8" x14ac:dyDescent="0.25">
      <c r="A684" s="57">
        <v>8305</v>
      </c>
      <c r="B684" s="57" t="s">
        <v>367</v>
      </c>
      <c r="C684" s="60">
        <v>2000</v>
      </c>
      <c r="D684" s="60">
        <v>32357</v>
      </c>
      <c r="E684" s="60">
        <v>1628245</v>
      </c>
      <c r="F684" s="64">
        <v>12439789</v>
      </c>
      <c r="G684" s="20">
        <f t="shared" si="10"/>
        <v>384.45433754674411</v>
      </c>
      <c r="H684" s="20" t="s">
        <v>86</v>
      </c>
    </row>
    <row r="685" spans="1:8" x14ac:dyDescent="0.25">
      <c r="A685" s="53">
        <v>17223</v>
      </c>
      <c r="B685" s="53" t="s">
        <v>616</v>
      </c>
      <c r="C685" s="54">
        <v>2009</v>
      </c>
      <c r="D685" s="55">
        <v>772</v>
      </c>
      <c r="E685" s="54">
        <v>67134</v>
      </c>
      <c r="F685" s="54">
        <v>437899</v>
      </c>
      <c r="G685" s="20">
        <f t="shared" si="10"/>
        <v>567.22668393782385</v>
      </c>
      <c r="H685" s="20" t="s">
        <v>479</v>
      </c>
    </row>
    <row r="686" spans="1:8" x14ac:dyDescent="0.25">
      <c r="A686" s="65">
        <v>43175</v>
      </c>
      <c r="B686" s="65" t="s">
        <v>796</v>
      </c>
      <c r="C686" s="66">
        <v>1990</v>
      </c>
      <c r="D686" s="114">
        <v>654</v>
      </c>
      <c r="E686" s="114">
        <v>18455</v>
      </c>
      <c r="F686" s="115">
        <v>86738.75</v>
      </c>
      <c r="G686" s="20">
        <f t="shared" si="10"/>
        <v>132.62805810397555</v>
      </c>
      <c r="H686" s="20" t="s">
        <v>778</v>
      </c>
    </row>
    <row r="687" spans="1:8" x14ac:dyDescent="0.25">
      <c r="A687" s="57">
        <v>8306</v>
      </c>
      <c r="B687" s="57" t="s">
        <v>368</v>
      </c>
      <c r="C687" s="60">
        <v>1987</v>
      </c>
      <c r="D687" s="57">
        <v>464</v>
      </c>
      <c r="E687" s="60">
        <v>21435</v>
      </c>
      <c r="F687" s="64">
        <v>171478</v>
      </c>
      <c r="G687" s="20">
        <f t="shared" si="10"/>
        <v>369.56465517241378</v>
      </c>
      <c r="H687" s="20" t="s">
        <v>86</v>
      </c>
    </row>
    <row r="688" spans="1:8" x14ac:dyDescent="0.25">
      <c r="A688" s="50">
        <v>17224</v>
      </c>
      <c r="B688" s="50" t="s">
        <v>617</v>
      </c>
      <c r="C688" s="51">
        <v>1989</v>
      </c>
      <c r="D688" s="51">
        <v>1187</v>
      </c>
      <c r="E688" s="51">
        <v>26111</v>
      </c>
      <c r="F688" s="51">
        <v>172333</v>
      </c>
      <c r="G688" s="20">
        <f t="shared" si="10"/>
        <v>145.18365627632687</v>
      </c>
      <c r="H688" s="20" t="s">
        <v>479</v>
      </c>
    </row>
    <row r="689" spans="1:8" x14ac:dyDescent="0.25">
      <c r="A689" s="67">
        <v>43166</v>
      </c>
      <c r="B689" s="67" t="s">
        <v>797</v>
      </c>
      <c r="C689" s="68">
        <v>1990</v>
      </c>
      <c r="D689" s="114">
        <v>1873</v>
      </c>
      <c r="E689" s="114">
        <v>70306</v>
      </c>
      <c r="F689" s="115">
        <v>534325.4</v>
      </c>
      <c r="G689" s="20">
        <f t="shared" si="10"/>
        <v>285.27784303256806</v>
      </c>
      <c r="H689" s="20" t="s">
        <v>778</v>
      </c>
    </row>
    <row r="690" spans="1:8" x14ac:dyDescent="0.25">
      <c r="A690" s="53">
        <v>17225</v>
      </c>
      <c r="B690" s="53" t="s">
        <v>618</v>
      </c>
      <c r="C690" s="54">
        <v>1987</v>
      </c>
      <c r="D690" s="55">
        <v>281</v>
      </c>
      <c r="E690" s="54">
        <v>19986</v>
      </c>
      <c r="F690" s="54">
        <v>119918</v>
      </c>
      <c r="G690" s="20">
        <f t="shared" si="10"/>
        <v>426.75444839857653</v>
      </c>
      <c r="H690" s="20" t="s">
        <v>479</v>
      </c>
    </row>
    <row r="691" spans="1:8" x14ac:dyDescent="0.25">
      <c r="A691" s="50">
        <v>17226</v>
      </c>
      <c r="B691" s="50" t="s">
        <v>619</v>
      </c>
      <c r="C691" s="51">
        <v>1989</v>
      </c>
      <c r="D691" s="52">
        <v>949</v>
      </c>
      <c r="E691" s="51">
        <v>118789</v>
      </c>
      <c r="F691" s="51">
        <v>688978</v>
      </c>
      <c r="G691" s="20">
        <f t="shared" si="10"/>
        <v>726.00421496311913</v>
      </c>
      <c r="H691" s="20" t="s">
        <v>479</v>
      </c>
    </row>
    <row r="692" spans="1:8" x14ac:dyDescent="0.25">
      <c r="A692" s="53">
        <v>17227</v>
      </c>
      <c r="B692" s="53" t="s">
        <v>620</v>
      </c>
      <c r="C692" s="54">
        <v>2011</v>
      </c>
      <c r="D692" s="55">
        <v>219</v>
      </c>
      <c r="E692" s="54">
        <v>16401</v>
      </c>
      <c r="F692" s="54">
        <v>71986</v>
      </c>
      <c r="G692" s="20">
        <f t="shared" si="10"/>
        <v>328.70319634703196</v>
      </c>
      <c r="H692" s="20" t="s">
        <v>479</v>
      </c>
    </row>
    <row r="693" spans="1:8" x14ac:dyDescent="0.25">
      <c r="A693" s="50">
        <v>17228</v>
      </c>
      <c r="B693" s="50" t="s">
        <v>621</v>
      </c>
      <c r="C693" s="51">
        <v>2013</v>
      </c>
      <c r="D693" s="52">
        <v>215</v>
      </c>
      <c r="E693" s="51">
        <v>15755</v>
      </c>
      <c r="F693" s="51">
        <v>55810</v>
      </c>
      <c r="G693" s="20">
        <f t="shared" si="10"/>
        <v>259.58139534883719</v>
      </c>
      <c r="H693" s="20" t="s">
        <v>479</v>
      </c>
    </row>
    <row r="694" spans="1:8" x14ac:dyDescent="0.25">
      <c r="A694" s="65">
        <v>43168</v>
      </c>
      <c r="B694" s="65" t="s">
        <v>798</v>
      </c>
      <c r="C694" s="66">
        <v>1990</v>
      </c>
      <c r="D694" s="114">
        <v>224</v>
      </c>
      <c r="E694" s="114">
        <v>7663</v>
      </c>
      <c r="F694" s="115">
        <v>57474.83</v>
      </c>
      <c r="G694" s="20">
        <f t="shared" si="10"/>
        <v>256.58406250000002</v>
      </c>
      <c r="H694" s="20" t="s">
        <v>778</v>
      </c>
    </row>
    <row r="695" spans="1:8" x14ac:dyDescent="0.25">
      <c r="A695" s="57">
        <v>8303</v>
      </c>
      <c r="B695" s="57" t="s">
        <v>369</v>
      </c>
      <c r="C695" s="60">
        <v>1989</v>
      </c>
      <c r="D695" s="57">
        <v>354</v>
      </c>
      <c r="E695" s="60">
        <v>14503</v>
      </c>
      <c r="F695" s="64">
        <v>94272</v>
      </c>
      <c r="G695" s="20">
        <f t="shared" si="10"/>
        <v>266.30508474576271</v>
      </c>
      <c r="H695" s="20" t="s">
        <v>86</v>
      </c>
    </row>
    <row r="696" spans="1:8" x14ac:dyDescent="0.25">
      <c r="A696" s="57">
        <v>8302</v>
      </c>
      <c r="B696" s="57" t="s">
        <v>370</v>
      </c>
      <c r="C696" s="60">
        <v>2008</v>
      </c>
      <c r="D696" s="60">
        <v>7950</v>
      </c>
      <c r="E696" s="60">
        <v>488455</v>
      </c>
      <c r="F696" s="64">
        <v>3052840</v>
      </c>
      <c r="G696" s="20">
        <f t="shared" si="10"/>
        <v>384.0050314465409</v>
      </c>
      <c r="H696" s="20" t="s">
        <v>86</v>
      </c>
    </row>
    <row r="697" spans="1:8" x14ac:dyDescent="0.25">
      <c r="A697" s="57">
        <v>8902</v>
      </c>
      <c r="B697" s="57" t="s">
        <v>371</v>
      </c>
      <c r="C697" s="60">
        <v>2009</v>
      </c>
      <c r="D697" s="60">
        <v>3278</v>
      </c>
      <c r="E697" s="60">
        <v>282979</v>
      </c>
      <c r="F697" s="64">
        <v>1948347</v>
      </c>
      <c r="G697" s="20">
        <f t="shared" si="10"/>
        <v>594.3706528370958</v>
      </c>
      <c r="H697" s="20" t="s">
        <v>86</v>
      </c>
    </row>
    <row r="698" spans="1:8" x14ac:dyDescent="0.25">
      <c r="A698" s="67">
        <v>43167</v>
      </c>
      <c r="B698" s="67" t="s">
        <v>799</v>
      </c>
      <c r="C698" s="68">
        <v>1990</v>
      </c>
      <c r="D698" s="114">
        <v>578</v>
      </c>
      <c r="E698" s="114">
        <v>20068</v>
      </c>
      <c r="F698" s="115">
        <v>144488.15</v>
      </c>
      <c r="G698" s="20">
        <f t="shared" si="10"/>
        <v>249.9794982698962</v>
      </c>
      <c r="H698" s="20" t="s">
        <v>778</v>
      </c>
    </row>
    <row r="699" spans="1:8" x14ac:dyDescent="0.25">
      <c r="A699" s="57">
        <v>8307</v>
      </c>
      <c r="B699" s="57" t="s">
        <v>372</v>
      </c>
      <c r="C699" s="60">
        <v>2006</v>
      </c>
      <c r="D699" s="60">
        <v>52137</v>
      </c>
      <c r="E699" s="60">
        <v>3377533</v>
      </c>
      <c r="F699" s="64">
        <v>27695811</v>
      </c>
      <c r="G699" s="20">
        <f t="shared" si="10"/>
        <v>531.21221013867307</v>
      </c>
      <c r="H699" s="20" t="s">
        <v>86</v>
      </c>
    </row>
    <row r="700" spans="1:8" x14ac:dyDescent="0.25">
      <c r="A700" s="65">
        <v>43169</v>
      </c>
      <c r="B700" s="65" t="s">
        <v>800</v>
      </c>
      <c r="C700" s="66">
        <v>1990</v>
      </c>
      <c r="D700" s="114">
        <v>451</v>
      </c>
      <c r="E700" s="114">
        <v>15463</v>
      </c>
      <c r="F700" s="115">
        <v>100507.34</v>
      </c>
      <c r="G700" s="20">
        <f t="shared" si="10"/>
        <v>222.85441241685143</v>
      </c>
      <c r="H700" s="20" t="s">
        <v>778</v>
      </c>
    </row>
    <row r="701" spans="1:8" x14ac:dyDescent="0.25">
      <c r="A701" s="67">
        <v>43170</v>
      </c>
      <c r="B701" s="67" t="s">
        <v>801</v>
      </c>
      <c r="C701" s="68">
        <v>2007</v>
      </c>
      <c r="D701" s="114">
        <v>1462</v>
      </c>
      <c r="E701" s="114">
        <v>90387</v>
      </c>
      <c r="F701" s="115">
        <v>664287.64</v>
      </c>
      <c r="G701" s="20">
        <f t="shared" si="10"/>
        <v>454.36911080711354</v>
      </c>
      <c r="H701" s="20" t="s">
        <v>778</v>
      </c>
    </row>
    <row r="702" spans="1:8" x14ac:dyDescent="0.25">
      <c r="A702" s="53">
        <v>17230</v>
      </c>
      <c r="B702" s="53" t="s">
        <v>622</v>
      </c>
      <c r="C702" s="54">
        <v>1989</v>
      </c>
      <c r="D702" s="55">
        <v>524</v>
      </c>
      <c r="E702" s="54">
        <v>35946</v>
      </c>
      <c r="F702" s="54">
        <v>226651</v>
      </c>
      <c r="G702" s="20">
        <f t="shared" si="10"/>
        <v>432.54007633587787</v>
      </c>
      <c r="H702" s="20" t="s">
        <v>479</v>
      </c>
    </row>
    <row r="703" spans="1:8" x14ac:dyDescent="0.25">
      <c r="A703" s="65">
        <v>43171</v>
      </c>
      <c r="B703" s="65" t="s">
        <v>802</v>
      </c>
      <c r="C703" s="66">
        <v>1996</v>
      </c>
      <c r="D703" s="114">
        <v>28025</v>
      </c>
      <c r="E703" s="114">
        <v>1313390</v>
      </c>
      <c r="F703" s="115">
        <v>10100904.27</v>
      </c>
      <c r="G703" s="20">
        <f t="shared" si="10"/>
        <v>360.42477323818019</v>
      </c>
      <c r="H703" s="20" t="s">
        <v>778</v>
      </c>
    </row>
    <row r="704" spans="1:8" x14ac:dyDescent="0.25">
      <c r="A704" s="57">
        <v>8214</v>
      </c>
      <c r="B704" s="57" t="s">
        <v>373</v>
      </c>
      <c r="C704" s="60">
        <v>1994</v>
      </c>
      <c r="D704" s="60">
        <v>5547</v>
      </c>
      <c r="E704" s="60">
        <v>481155</v>
      </c>
      <c r="F704" s="64">
        <v>4288340</v>
      </c>
      <c r="G704" s="20">
        <f t="shared" si="10"/>
        <v>773.09176131242111</v>
      </c>
      <c r="H704" s="20" t="s">
        <v>86</v>
      </c>
    </row>
    <row r="705" spans="1:8" x14ac:dyDescent="0.25">
      <c r="A705" s="57">
        <v>8219</v>
      </c>
      <c r="B705" s="57" t="s">
        <v>374</v>
      </c>
      <c r="C705" s="60">
        <v>2013</v>
      </c>
      <c r="D705" s="60">
        <v>14420</v>
      </c>
      <c r="E705" s="60">
        <v>938618</v>
      </c>
      <c r="F705" s="64">
        <v>7684661</v>
      </c>
      <c r="G705" s="20">
        <f t="shared" si="10"/>
        <v>532.91685159500696</v>
      </c>
      <c r="H705" s="20" t="s">
        <v>86</v>
      </c>
    </row>
    <row r="706" spans="1:8" x14ac:dyDescent="0.25">
      <c r="A706" s="50">
        <v>17222</v>
      </c>
      <c r="B706" s="50" t="s">
        <v>623</v>
      </c>
      <c r="C706" s="51">
        <v>1989</v>
      </c>
      <c r="D706" s="52">
        <v>167</v>
      </c>
      <c r="E706" s="51">
        <v>11381</v>
      </c>
      <c r="F706" s="51">
        <v>51212</v>
      </c>
      <c r="G706" s="20">
        <f t="shared" ref="G706:G717" si="11">F706/D706</f>
        <v>306.65868263473055</v>
      </c>
      <c r="H706" s="20" t="s">
        <v>479</v>
      </c>
    </row>
    <row r="707" spans="1:8" x14ac:dyDescent="0.25">
      <c r="A707" s="67">
        <v>43172</v>
      </c>
      <c r="B707" s="67" t="s">
        <v>803</v>
      </c>
      <c r="C707" s="68">
        <v>1989</v>
      </c>
      <c r="D707" s="114">
        <v>447</v>
      </c>
      <c r="E707" s="114">
        <v>16505</v>
      </c>
      <c r="F707" s="115">
        <v>132037.76999999999</v>
      </c>
      <c r="G707" s="20">
        <f t="shared" si="11"/>
        <v>295.38651006711405</v>
      </c>
      <c r="H707" s="20" t="s">
        <v>778</v>
      </c>
    </row>
    <row r="708" spans="1:8" x14ac:dyDescent="0.25">
      <c r="A708" s="65">
        <v>43173</v>
      </c>
      <c r="B708" s="65" t="s">
        <v>804</v>
      </c>
      <c r="C708" s="66">
        <v>1990</v>
      </c>
      <c r="D708" s="114">
        <v>187</v>
      </c>
      <c r="E708" s="114">
        <v>3171</v>
      </c>
      <c r="F708" s="115">
        <v>29649.599999999999</v>
      </c>
      <c r="G708" s="20">
        <f t="shared" si="11"/>
        <v>158.55401069518715</v>
      </c>
      <c r="H708" s="20" t="s">
        <v>778</v>
      </c>
    </row>
    <row r="709" spans="1:8" x14ac:dyDescent="0.25">
      <c r="A709" s="67">
        <v>43174</v>
      </c>
      <c r="B709" s="67" t="s">
        <v>805</v>
      </c>
      <c r="C709" s="68">
        <v>1990</v>
      </c>
      <c r="D709" s="114">
        <v>282</v>
      </c>
      <c r="E709" s="114">
        <v>4554</v>
      </c>
      <c r="F709" s="115">
        <v>36435.29</v>
      </c>
      <c r="G709" s="20">
        <f t="shared" si="11"/>
        <v>129.2031560283688</v>
      </c>
      <c r="H709" s="20" t="s">
        <v>778</v>
      </c>
    </row>
    <row r="710" spans="1:8" x14ac:dyDescent="0.25">
      <c r="A710" s="57">
        <v>8304</v>
      </c>
      <c r="B710" s="57" t="s">
        <v>375</v>
      </c>
      <c r="C710" s="60">
        <v>1999</v>
      </c>
      <c r="D710" s="57">
        <v>679</v>
      </c>
      <c r="E710" s="60">
        <v>49258</v>
      </c>
      <c r="F710" s="64">
        <v>354659</v>
      </c>
      <c r="G710" s="20">
        <f t="shared" si="11"/>
        <v>522.32547864506626</v>
      </c>
      <c r="H710" s="20" t="s">
        <v>86</v>
      </c>
    </row>
    <row r="711" spans="1:8" x14ac:dyDescent="0.25">
      <c r="A711" s="53">
        <v>17233</v>
      </c>
      <c r="B711" s="53" t="s">
        <v>624</v>
      </c>
      <c r="C711" s="54">
        <v>1990</v>
      </c>
      <c r="D711" s="54">
        <v>2011</v>
      </c>
      <c r="E711" s="54">
        <v>91231</v>
      </c>
      <c r="F711" s="54">
        <v>775464</v>
      </c>
      <c r="G711" s="20">
        <f t="shared" si="11"/>
        <v>385.61113873694677</v>
      </c>
      <c r="H711" s="20" t="s">
        <v>479</v>
      </c>
    </row>
    <row r="712" spans="1:8" x14ac:dyDescent="0.25">
      <c r="A712" s="50">
        <v>17232</v>
      </c>
      <c r="B712" s="50" t="s">
        <v>625</v>
      </c>
      <c r="C712" s="51">
        <v>1989</v>
      </c>
      <c r="D712" s="52">
        <v>271</v>
      </c>
      <c r="E712" s="51">
        <v>24410</v>
      </c>
      <c r="F712" s="51">
        <v>134255</v>
      </c>
      <c r="G712" s="20">
        <f t="shared" si="11"/>
        <v>495.40590405904061</v>
      </c>
      <c r="H712" s="20" t="s">
        <v>479</v>
      </c>
    </row>
    <row r="713" spans="1:8" x14ac:dyDescent="0.25">
      <c r="A713" s="65">
        <v>43176</v>
      </c>
      <c r="B713" s="65" t="s">
        <v>806</v>
      </c>
      <c r="C713" s="66">
        <v>1990</v>
      </c>
      <c r="D713" s="114">
        <v>1093</v>
      </c>
      <c r="E713" s="114">
        <v>41537</v>
      </c>
      <c r="F713" s="115">
        <v>311524.36</v>
      </c>
      <c r="G713" s="20">
        <f t="shared" si="11"/>
        <v>285.01771271729183</v>
      </c>
      <c r="H713" s="20" t="s">
        <v>778</v>
      </c>
    </row>
    <row r="714" spans="1:8" x14ac:dyDescent="0.25">
      <c r="A714" s="67">
        <v>43177</v>
      </c>
      <c r="B714" s="67" t="s">
        <v>807</v>
      </c>
      <c r="C714" s="68">
        <v>1990</v>
      </c>
      <c r="D714" s="114">
        <v>472</v>
      </c>
      <c r="E714" s="114">
        <v>11341</v>
      </c>
      <c r="F714" s="115">
        <v>68047.14</v>
      </c>
      <c r="G714" s="20">
        <f t="shared" si="11"/>
        <v>144.16766949152543</v>
      </c>
      <c r="H714" s="20" t="s">
        <v>778</v>
      </c>
    </row>
    <row r="715" spans="1:8" x14ac:dyDescent="0.25">
      <c r="A715" s="65">
        <v>43178</v>
      </c>
      <c r="B715" s="65" t="s">
        <v>808</v>
      </c>
      <c r="C715" s="66">
        <v>1989</v>
      </c>
      <c r="D715" s="114">
        <v>2895</v>
      </c>
      <c r="E715" s="114">
        <v>78173</v>
      </c>
      <c r="F715" s="115">
        <v>699100.28</v>
      </c>
      <c r="G715" s="20">
        <f t="shared" si="11"/>
        <v>241.48541623488774</v>
      </c>
      <c r="H715" s="20" t="s">
        <v>778</v>
      </c>
    </row>
    <row r="716" spans="1:8" x14ac:dyDescent="0.25">
      <c r="A716" s="57">
        <v>8308</v>
      </c>
      <c r="B716" s="57" t="s">
        <v>376</v>
      </c>
      <c r="C716" s="60">
        <v>1989</v>
      </c>
      <c r="D716" s="57">
        <v>115</v>
      </c>
      <c r="E716" s="60">
        <v>3610</v>
      </c>
      <c r="F716" s="64">
        <v>14440</v>
      </c>
      <c r="G716" s="20">
        <f t="shared" si="11"/>
        <v>125.56521739130434</v>
      </c>
      <c r="H716" s="20" t="s">
        <v>86</v>
      </c>
    </row>
    <row r="717" spans="1:8" x14ac:dyDescent="0.25">
      <c r="A717" s="67">
        <v>43052</v>
      </c>
      <c r="B717" s="67" t="s">
        <v>809</v>
      </c>
      <c r="C717" s="68">
        <v>1990</v>
      </c>
      <c r="D717" s="114">
        <v>12197</v>
      </c>
      <c r="E717" s="114">
        <v>451557</v>
      </c>
      <c r="F717" s="115">
        <v>4899392.24</v>
      </c>
      <c r="G717" s="20">
        <f t="shared" si="11"/>
        <v>401.68830368123309</v>
      </c>
      <c r="H717" s="20" t="s">
        <v>778</v>
      </c>
    </row>
  </sheetData>
  <autoFilter ref="A1:W717">
    <sortState ref="A2:W717">
      <sortCondition ref="B1:B717"/>
    </sortState>
  </autoFilter>
  <sortState ref="A2:V533">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vt:lpstr>
      <vt:lpstr>Informació</vt:lpstr>
      <vt:lpstr>Resultats</vt:lpstr>
      <vt:lpstr>Conclusió</vt:lpstr>
      <vt:lpstr>Context Ambiental</vt:lpstr>
      <vt:lpstr>Base de dades Municipis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2020-10-21T11:12:14Z</dcterms:modified>
</cp:coreProperties>
</file>